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raig/Documents/MyStuff/00 Research/projects/distortion/ConstFeats/Analysis - GPS coordinates vs odometry induction/"/>
    </mc:Choice>
  </mc:AlternateContent>
  <xr:revisionPtr revIDLastSave="0" documentId="13_ncr:1_{7F326662-C729-BA4D-8833-26BC2996EC40}" xr6:coauthVersionLast="47" xr6:coauthVersionMax="47" xr10:uidLastSave="{00000000-0000-0000-0000-000000000000}"/>
  <bookViews>
    <workbookView xWindow="-29760" yWindow="2740" windowWidth="27240" windowHeight="20880" xr2:uid="{F117BA75-8E16-5443-A9A8-3ACC07B63AD9}"/>
  </bookViews>
  <sheets>
    <sheet name="Overview" sheetId="7" r:id="rId1"/>
    <sheet name="Flat Earth" sheetId="3" r:id="rId2"/>
    <sheet name="S. Law of Cos" sheetId="4" r:id="rId3"/>
    <sheet name="Adjusted SLC" sheetId="5" r:id="rId4"/>
    <sheet name="Haversine Formula" sheetId="6" r:id="rId5"/>
  </sheets>
  <externalReferences>
    <externalReference r:id="rId6"/>
    <externalReference r:id="rId7"/>
  </externalReferences>
  <definedNames>
    <definedName name="aTerm" localSheetId="3">'Adjusted SLC'!#REF!</definedName>
    <definedName name="aTerm" localSheetId="1">'Flat Earth'!#REF!</definedName>
    <definedName name="aTerm" localSheetId="4">'Haversine Formula'!$G$8:$G$30</definedName>
    <definedName name="aTerm" localSheetId="2">'S. Law of Cos'!#REF!</definedName>
    <definedName name="aTerm">'[1]haversine calc'!$G$4:$G$36</definedName>
    <definedName name="cTerm" localSheetId="3">'Adjusted SLC'!#REF!</definedName>
    <definedName name="cTerm" localSheetId="1">'Flat Earth'!#REF!</definedName>
    <definedName name="cTerm" localSheetId="4">'Haversine Formula'!$H$8:$H$30</definedName>
    <definedName name="cTerm" localSheetId="2">'S. Law of Cos'!#REF!</definedName>
    <definedName name="cTerm">'[1]haversine calc'!$H$4:$H$36</definedName>
    <definedName name="dLat" localSheetId="3">'Adjusted SLC'!#REF!</definedName>
    <definedName name="dLat" localSheetId="1">'Flat Earth'!$E$8:$E$30</definedName>
    <definedName name="dLat" localSheetId="4">'Haversine Formula'!$E$8:$E$30</definedName>
    <definedName name="dLat" localSheetId="2">'S. Law of Cos'!#REF!</definedName>
    <definedName name="dLat">'[1]haversine calc'!$E$4:$E$36</definedName>
    <definedName name="dLong" localSheetId="3">'Adjusted SLC'!$E$8:$E$30</definedName>
    <definedName name="dLong" localSheetId="1">'Flat Earth'!$F$8:$F$30</definedName>
    <definedName name="dLong" localSheetId="4">'Haversine Formula'!$F$8:$F$30</definedName>
    <definedName name="dLong" localSheetId="2">'S. Law of Cos'!$E$8:$E$30</definedName>
    <definedName name="dLong">'[1]haversine calc'!$F$4:$F$36</definedName>
    <definedName name="lat" localSheetId="3">'Adjusted SLC'!$A$7:$A$30</definedName>
    <definedName name="lat" localSheetId="1">'Flat Earth'!$A$7:$A$30</definedName>
    <definedName name="lat" localSheetId="4">'Haversine Formula'!$A$7:$A$30</definedName>
    <definedName name="lat" localSheetId="2">'S. Law of Cos'!$A$7:$A$30</definedName>
    <definedName name="lat">'[1]haversine calc'!$A$3:$A$36</definedName>
    <definedName name="latr" localSheetId="3">'Adjusted SLC'!$C$8:$C$30</definedName>
    <definedName name="latr" localSheetId="1">'Flat Earth'!$C$8:$C$30</definedName>
    <definedName name="latr" localSheetId="4">'Haversine Formula'!$C$8:$C$30</definedName>
    <definedName name="latr" localSheetId="2">'S. Law of Cos'!$C$8:$C$30</definedName>
    <definedName name="latr">'[1]haversine calc'!$C$4:$C$36</definedName>
    <definedName name="latrm1" localSheetId="3">'Adjusted SLC'!$C$7:$C$29</definedName>
    <definedName name="latrm1" localSheetId="1">'Flat Earth'!$C$7:$C$29</definedName>
    <definedName name="latrm1" localSheetId="4">'Haversine Formula'!$C$7:$C$29</definedName>
    <definedName name="latrm1" localSheetId="2">'S. Law of Cos'!$C$7:$C$29</definedName>
    <definedName name="latrm1">'[1]haversine calc'!$C$3:$C$35</definedName>
    <definedName name="long" localSheetId="3">'Adjusted SLC'!$B$7:$B$30</definedName>
    <definedName name="long" localSheetId="1">'Flat Earth'!$B$7:$B$30</definedName>
    <definedName name="long" localSheetId="4">'Haversine Formula'!$B$7:$B$30</definedName>
    <definedName name="long" localSheetId="2">'S. Law of Cos'!$B$7:$B$30</definedName>
    <definedName name="long">'[1]haversine calc'!$B$3:$B$36</definedName>
    <definedName name="longr" localSheetId="3">'Adjusted SLC'!$D$8:$D$30</definedName>
    <definedName name="longr" localSheetId="1">'Flat Earth'!$D$8:$D$30</definedName>
    <definedName name="longr" localSheetId="4">'Haversine Formula'!$D$8:$D$30</definedName>
    <definedName name="longr" localSheetId="2">'S. Law of Cos'!$D$8:$D$30</definedName>
    <definedName name="longr">'[1]haversine calc'!$D$4:$D$36</definedName>
    <definedName name="longrm1" localSheetId="3">'Adjusted SLC'!$D$7:$D$29</definedName>
    <definedName name="longrm1" localSheetId="1">'Flat Earth'!$D$7:$D$29</definedName>
    <definedName name="longrm1" localSheetId="4">'Haversine Formula'!$D$7:$D$29</definedName>
    <definedName name="longrm1" localSheetId="2">'S. Law of Cos'!$D$7:$D$29</definedName>
    <definedName name="longrm1">'[1]haversine calc'!$D$3:$D$35</definedName>
    <definedName name="Rconst" localSheetId="3">'Adjusted SLC'!$E$3</definedName>
    <definedName name="Rconst" localSheetId="1">'Flat Earth'!$F$3</definedName>
    <definedName name="Rconst" localSheetId="4">'Haversine Formula'!$F$3</definedName>
    <definedName name="Rconst" localSheetId="2">'S. Law of Cos'!$E$3</definedName>
    <definedName name="Rconst">'[1]haversine calc'!$L$3</definedName>
    <definedName name="test" localSheetId="3">'Adjusted SLC'!#REF!</definedName>
    <definedName name="test" localSheetId="1">'Flat Earth'!#REF!</definedName>
    <definedName name="test" localSheetId="4">'Haversine Formula'!$H$7:$H$11</definedName>
    <definedName name="test" localSheetId="2">'S. Law of Cos'!#REF!</definedName>
    <definedName name="test">'[1]haversine calc'!$H$3:$H$7</definedName>
    <definedName name="Xterm" localSheetId="3">'Adjusted SLC'!#REF!</definedName>
    <definedName name="Xterm" localSheetId="1">'Flat Earth'!$G$8:$G$30</definedName>
    <definedName name="Xterm" localSheetId="4">'Haversine Formula'!#REF!</definedName>
    <definedName name="Xterm" localSheetId="2">'S. Law of Cos'!#REF!</definedName>
    <definedName name="Xterm">'[2]haversine calc throgh garden'!$Q$8:$Q$24</definedName>
    <definedName name="Yterm" localSheetId="3">'Adjusted SLC'!#REF!</definedName>
    <definedName name="Yterm" localSheetId="1">'Flat Earth'!$H$8:$H$30</definedName>
    <definedName name="Yterm" localSheetId="4">'Haversine Formula'!#REF!</definedName>
    <definedName name="Yterm" localSheetId="2">'S. Law of Cos'!#REF!</definedName>
  </definedName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0" i="3" l="1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  <c r="K9" i="3"/>
  <c r="K8" i="3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9" i="6"/>
  <c r="K8" i="6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8" i="4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8" i="5"/>
  <c r="F8" i="5" a="1"/>
  <c r="F8" i="5" s="1"/>
  <c r="D7" i="3" a="1"/>
  <c r="D7" i="3" s="1"/>
  <c r="D7" i="6" a="1"/>
  <c r="D7" i="6" s="1"/>
  <c r="F8" i="6" s="1" a="1"/>
  <c r="F8" i="6" s="1"/>
  <c r="C7" i="6" a="1"/>
  <c r="F3" i="6"/>
  <c r="D7" i="5" a="1"/>
  <c r="D7" i="5" s="1"/>
  <c r="E8" i="5" s="1" a="1"/>
  <c r="E8" i="5" s="1"/>
  <c r="C7" i="5" a="1"/>
  <c r="E3" i="5"/>
  <c r="D7" i="4" a="1"/>
  <c r="D7" i="4" s="1"/>
  <c r="E8" i="4" s="1" a="1"/>
  <c r="E8" i="4" s="1"/>
  <c r="C7" i="4" a="1"/>
  <c r="E3" i="4"/>
  <c r="C7" i="3" a="1"/>
  <c r="F4" i="3"/>
  <c r="F3" i="3"/>
  <c r="F8" i="3" l="1" a="1"/>
  <c r="F8" i="3" s="1"/>
  <c r="C7" i="6"/>
  <c r="C7" i="5"/>
  <c r="C7" i="4"/>
  <c r="F8" i="4" s="1" a="1"/>
  <c r="F8" i="4" s="1"/>
  <c r="C7" i="3"/>
  <c r="H8" i="3" s="1" a="1"/>
  <c r="H8" i="3" s="1"/>
  <c r="E8" i="3" l="1" a="1"/>
  <c r="E8" i="3" s="1"/>
  <c r="G8" i="3" a="1"/>
  <c r="G8" i="3" s="1"/>
  <c r="E8" i="6" a="1"/>
  <c r="E8" i="6" s="1"/>
  <c r="G8" i="6" s="1" a="1"/>
  <c r="G8" i="6" s="1"/>
  <c r="H8" i="6" s="1" a="1"/>
  <c r="H8" i="6" s="1"/>
  <c r="I8" i="6" s="1" a="1"/>
  <c r="I8" i="6" s="1"/>
  <c r="H33" i="4" l="1"/>
  <c r="H34" i="4"/>
  <c r="H32" i="4"/>
  <c r="I8" i="3" a="1"/>
  <c r="K34" i="6" l="1"/>
  <c r="K33" i="6"/>
  <c r="K32" i="6"/>
  <c r="H34" i="5"/>
  <c r="H33" i="5"/>
  <c r="H32" i="5"/>
  <c r="I8" i="3"/>
  <c r="K34" i="3" l="1"/>
  <c r="K33" i="3"/>
  <c r="K32" i="3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<sst xmlns="http://schemas.openxmlformats.org/spreadsheetml/2006/main" count="124" uniqueCount="70">
  <si>
    <t>feet</t>
  </si>
  <si>
    <t>std</t>
  </si>
  <si>
    <t>median</t>
  </si>
  <si>
    <t>mean</t>
  </si>
  <si>
    <t>Error</t>
  </si>
  <si>
    <t>gpDist (truth)</t>
  </si>
  <si>
    <t>Yterm</t>
  </si>
  <si>
    <t>Xterm</t>
  </si>
  <si>
    <t>cosDist</t>
  </si>
  <si>
    <t>hDist</t>
  </si>
  <si>
    <t>cTerm</t>
  </si>
  <si>
    <t>aTerm</t>
  </si>
  <si>
    <t>longr</t>
  </si>
  <si>
    <t>latr</t>
  </si>
  <si>
    <t>Haversine</t>
  </si>
  <si>
    <t>ACOS(SIN(latrm1)*SIN(latr) + COS(latrm1)*COS(latr)*COS(dLong))*Rconst</t>
  </si>
  <si>
    <t>6371e3 * 3.28084</t>
  </si>
  <si>
    <t># meters x feet / meter = feet</t>
  </si>
  <si>
    <t>lat</t>
  </si>
  <si>
    <t>long</t>
  </si>
  <si>
    <t>S. Law of Cos</t>
  </si>
  <si>
    <t>Adjusted SLC</t>
  </si>
  <si>
    <t>dLat</t>
  </si>
  <si>
    <t>dLong</t>
  </si>
  <si>
    <t>SQRT(Xterm^2 + dLat^2) *Rconst</t>
  </si>
  <si>
    <t>ACOS(COS(latr)*COS(latrm1) + SIN(latr)*SIN(latrm1)*COS(dLong))*Rconst</t>
  </si>
  <si>
    <t>aTerm =</t>
  </si>
  <si>
    <t>SIN(dLat/2)*SIN(dLat/2) + COS(latr)*COS(latrm1)*SIN(dLong/2)*SIN(dLong/2)</t>
  </si>
  <si>
    <t>cTerm =</t>
  </si>
  <si>
    <t>2 *ATAN2(SQRT(1-aTerm)</t>
  </si>
  <si>
    <t>SQRT(aTerm))</t>
  </si>
  <si>
    <t>Rconst</t>
  </si>
  <si>
    <t>hDist =</t>
  </si>
  <si>
    <t>cTerm*Rconst</t>
  </si>
  <si>
    <t>cosDist =</t>
  </si>
  <si>
    <t>skcDist =</t>
  </si>
  <si>
    <t>slcDist</t>
  </si>
  <si>
    <t>Xterm =</t>
  </si>
  <si>
    <t>feDist =</t>
  </si>
  <si>
    <t>Flat earth</t>
  </si>
  <si>
    <t>dLong*COS(latrm1)</t>
  </si>
  <si>
    <t>COS(latrm1)</t>
  </si>
  <si>
    <t>Flat Earth</t>
  </si>
  <si>
    <t>Spherical Law of Cosines</t>
  </si>
  <si>
    <t>Adjusted Sph. Law of Cosines</t>
  </si>
  <si>
    <t>Haversine calculation</t>
  </si>
  <si>
    <t>Yterm =</t>
  </si>
  <si>
    <t>Overview</t>
  </si>
  <si>
    <t>Author:</t>
  </si>
  <si>
    <t>Craig L Champlin</t>
  </si>
  <si>
    <t>email1:</t>
  </si>
  <si>
    <t>email2:</t>
  </si>
  <si>
    <t>craig.xhamplin@me.com</t>
  </si>
  <si>
    <t>cchampli@mines.edu</t>
  </si>
  <si>
    <t>linkedin:</t>
  </si>
  <si>
    <t>https://www.linkedin.com/in/craigchamplin</t>
  </si>
  <si>
    <t>blog:</t>
  </si>
  <si>
    <t>https://craigchamplin.com</t>
  </si>
  <si>
    <t>Coordinate Locations</t>
  </si>
  <si>
    <t xml:space="preserve">Comparison of 4 different GIS calculations and their suitability for calculating small distances.  </t>
  </si>
  <si>
    <t>1) Flat earth approximation</t>
  </si>
  <si>
    <t>2) Spherical Law of Cosines</t>
  </si>
  <si>
    <t>3) Adjusted Spherical Law of Cosines</t>
  </si>
  <si>
    <t>4) Haversine Calculatiion</t>
  </si>
  <si>
    <t>Last Edit:</t>
  </si>
  <si>
    <t>Feb. 8, 2023</t>
  </si>
  <si>
    <t>feDist</t>
  </si>
  <si>
    <t>Error %</t>
  </si>
  <si>
    <t>%</t>
  </si>
  <si>
    <t>(feet)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</si>
</sst>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_);[Red]\(0.000\)"/>
    <numFmt numFmtId="170" formatCode="0.0_);[Red]\(0.0\)"/>
  </numFmts>
  <fonts count="5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tted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dotted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dotted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dotted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hair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 style="hair">
        <color auto="1"/>
      </right>
      <top/>
      <bottom style="medium">
        <color indexed="64"/>
      </bottom>
      <diagonal/>
    </border>
    <border>
      <left style="dotted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 style="dotted">
        <color auto="1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2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right"/>
    </xf>
    <xf numFmtId="164" fontId="0" fillId="2" borderId="1" xfId="0" applyNumberFormat="1" applyFill="1" applyBorder="1"/>
    <xf numFmtId="2" fontId="0" fillId="3" borderId="2" xfId="0" applyNumberFormat="1" applyFill="1" applyBorder="1"/>
    <xf numFmtId="2" fontId="0" fillId="4" borderId="3" xfId="0" applyNumberFormat="1" applyFill="1" applyBorder="1"/>
    <xf numFmtId="2" fontId="0" fillId="5" borderId="3" xfId="0" applyNumberFormat="1" applyFill="1" applyBorder="1"/>
    <xf numFmtId="0" fontId="0" fillId="0" borderId="4" xfId="0" applyBorder="1"/>
    <xf numFmtId="0" fontId="0" fillId="0" borderId="5" xfId="0" applyBorder="1"/>
    <xf numFmtId="2" fontId="0" fillId="6" borderId="3" xfId="0" applyNumberFormat="1" applyFill="1" applyBorder="1"/>
    <xf numFmtId="0" fontId="0" fillId="2" borderId="6" xfId="0" applyFill="1" applyBorder="1"/>
    <xf numFmtId="0" fontId="0" fillId="3" borderId="7" xfId="0" applyFill="1" applyBorder="1"/>
    <xf numFmtId="2" fontId="0" fillId="4" borderId="8" xfId="0" applyNumberFormat="1" applyFill="1" applyBorder="1"/>
    <xf numFmtId="2" fontId="0" fillId="5" borderId="8" xfId="0" applyNumberFormat="1" applyFill="1" applyBorder="1"/>
    <xf numFmtId="0" fontId="0" fillId="0" borderId="9" xfId="0" applyBorder="1"/>
    <xf numFmtId="0" fontId="0" fillId="0" borderId="10" xfId="0" applyBorder="1"/>
    <xf numFmtId="2" fontId="0" fillId="6" borderId="8" xfId="0" applyNumberFormat="1" applyFill="1" applyBorder="1"/>
    <xf numFmtId="0" fontId="1" fillId="0" borderId="0" xfId="0" applyFont="1"/>
    <xf numFmtId="0" fontId="1" fillId="2" borderId="11" xfId="0" applyFont="1" applyFill="1" applyBorder="1"/>
    <xf numFmtId="0" fontId="1" fillId="3" borderId="12" xfId="0" applyFont="1" applyFill="1" applyBorder="1"/>
    <xf numFmtId="2" fontId="1" fillId="4" borderId="13" xfId="0" applyNumberFormat="1" applyFont="1" applyFill="1" applyBorder="1"/>
    <xf numFmtId="2" fontId="1" fillId="5" borderId="13" xfId="0" applyNumberFormat="1" applyFont="1" applyFill="1" applyBorder="1"/>
    <xf numFmtId="0" fontId="1" fillId="0" borderId="14" xfId="0" applyFont="1" applyBorder="1"/>
    <xf numFmtId="0" fontId="1" fillId="0" borderId="15" xfId="0" applyFont="1" applyBorder="1"/>
    <xf numFmtId="2" fontId="1" fillId="6" borderId="13" xfId="0" applyNumberFormat="1" applyFont="1" applyFill="1" applyBorder="1"/>
    <xf numFmtId="0" fontId="1" fillId="5" borderId="14" xfId="0" applyFont="1" applyFill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2" fillId="0" borderId="0" xfId="0" applyFont="1"/>
    <xf numFmtId="2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4" fillId="0" borderId="0" xfId="0" applyFont="1"/>
    <xf numFmtId="0" fontId="3" fillId="0" borderId="0" xfId="1"/>
    <xf numFmtId="170" fontId="0" fillId="2" borderId="1" xfId="0" applyNumberFormat="1" applyFill="1" applyBorder="1"/>
    <xf numFmtId="170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469900</xdr:colOff>
      <xdr:row>10</xdr:row>
      <xdr:rowOff>0</xdr:rowOff>
    </xdr:from>
    <xdr:to>
      <xdr:col>9</xdr:col>
      <xdr:colOff>812800</xdr:colOff>
      <xdr:row>30</xdr:row>
      <xdr:rowOff>69244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CDE3D2-1406-70B2-7BCC-63D26B497F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9900" y="2260600"/>
          <a:ext cx="7772400" cy="413324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aversine%20Test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GPS%20Spherical%20measurements%20compa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aversine calc"/>
    </sheetNames>
    <sheetDataSet>
      <sheetData sheetId="0">
        <row r="3">
          <cell r="A3">
            <v>35.966561370000001</v>
          </cell>
          <cell r="B3">
            <v>-95.974840220000004</v>
          </cell>
          <cell r="C3">
            <v>0.62773491652710245</v>
          </cell>
          <cell r="D3">
            <v>-1.6750769609144789</v>
          </cell>
          <cell r="L3">
            <v>20902231.68</v>
          </cell>
        </row>
        <row r="4">
          <cell r="A4">
            <v>35.966558429999999</v>
          </cell>
          <cell r="B4">
            <v>-95.97484025</v>
          </cell>
          <cell r="C4">
            <v>0.62773486521442246</v>
          </cell>
          <cell r="D4">
            <v>-1.6750769614380778</v>
          </cell>
          <cell r="E4">
            <v>-5.1312679993920085E-8</v>
          </cell>
          <cell r="F4">
            <v>-5.2359894198161783E-10</v>
          </cell>
          <cell r="G4">
            <v>6.582926794102967E-16</v>
          </cell>
          <cell r="H4">
            <v>5.1314429916361608E-8</v>
          </cell>
        </row>
        <row r="5">
          <cell r="A5">
            <v>35.96655792</v>
          </cell>
          <cell r="B5">
            <v>-95.974840259999993</v>
          </cell>
          <cell r="C5">
            <v>0.62773485631324322</v>
          </cell>
          <cell r="D5">
            <v>-1.6750769616126104</v>
          </cell>
          <cell r="E5">
            <v>-8.9011792381299415E-9</v>
          </cell>
          <cell r="F5">
            <v>-1.7453261058619773E-10</v>
          </cell>
          <cell r="G5">
            <v>1.9812736533134344E-17</v>
          </cell>
          <cell r="H5">
            <v>8.9023000473213309E-9</v>
          </cell>
        </row>
        <row r="6">
          <cell r="A6">
            <v>35.966555360000001</v>
          </cell>
          <cell r="B6">
            <v>-95.974840330000006</v>
          </cell>
          <cell r="C6">
            <v>0.62773481163281442</v>
          </cell>
          <cell r="D6">
            <v>-1.6750769628343412</v>
          </cell>
          <cell r="E6">
            <v>-4.4680428801235905E-8</v>
          </cell>
          <cell r="F6">
            <v>-1.2217307165940383E-9</v>
          </cell>
          <cell r="G6">
            <v>4.9932962066692484E-16</v>
          </cell>
          <cell r="H6">
            <v>4.4691369218985666E-8</v>
          </cell>
        </row>
        <row r="7">
          <cell r="A7">
            <v>35.966551420000002</v>
          </cell>
          <cell r="B7">
            <v>-95.97484043</v>
          </cell>
          <cell r="C7">
            <v>0.62773474286684194</v>
          </cell>
          <cell r="D7">
            <v>-1.6750769645796701</v>
          </cell>
          <cell r="E7">
            <v>-6.8765972471851455E-8</v>
          </cell>
          <cell r="F7">
            <v>-1.7453289924418414E-9</v>
          </cell>
          <cell r="G7">
            <v>1.1826886017909816E-15</v>
          </cell>
          <cell r="H7">
            <v>6.8780479841041594E-8</v>
          </cell>
        </row>
        <row r="8">
          <cell r="A8">
            <v>35.966551109999997</v>
          </cell>
          <cell r="B8">
            <v>-95.97484043</v>
          </cell>
          <cell r="C8">
            <v>0.62773473745632113</v>
          </cell>
          <cell r="D8">
            <v>-1.6750769645796701</v>
          </cell>
          <cell r="E8">
            <v>-5.4105208091570489E-9</v>
          </cell>
          <cell r="F8">
            <v>0</v>
          </cell>
          <cell r="G8">
            <v>7.3184338565803618E-18</v>
          </cell>
          <cell r="H8">
            <v>5.4105208091570489E-9</v>
          </cell>
        </row>
        <row r="9">
          <cell r="A9">
            <v>35.96654041</v>
          </cell>
          <cell r="B9">
            <v>-95.974840639999996</v>
          </cell>
          <cell r="C9">
            <v>0.6277345507060913</v>
          </cell>
          <cell r="D9">
            <v>-1.6750769682448616</v>
          </cell>
          <cell r="E9">
            <v>-1.8675022983583034E-7</v>
          </cell>
          <cell r="F9">
            <v>-3.6651914836483002E-9</v>
          </cell>
          <cell r="G9">
            <v>8.7211120565525846E-15</v>
          </cell>
          <cell r="H9">
            <v>1.8677378891646022E-7</v>
          </cell>
        </row>
        <row r="10">
          <cell r="A10">
            <v>35.966526289999997</v>
          </cell>
          <cell r="B10">
            <v>-95.974840959999995</v>
          </cell>
          <cell r="C10">
            <v>0.62773430426560084</v>
          </cell>
          <cell r="D10">
            <v>-1.6750769738299154</v>
          </cell>
          <cell r="E10">
            <v>-2.4644049045896566E-7</v>
          </cell>
          <cell r="F10">
            <v>-5.585053752810154E-9</v>
          </cell>
          <cell r="G10">
            <v>1.5188337157935168E-14</v>
          </cell>
          <cell r="H10">
            <v>2.4648194382498074E-7</v>
          </cell>
        </row>
        <row r="11">
          <cell r="A11">
            <v>35.96652589</v>
          </cell>
          <cell r="B11">
            <v>-95.974840970000002</v>
          </cell>
          <cell r="C11">
            <v>0.62773429728428387</v>
          </cell>
          <cell r="D11">
            <v>-1.6750769740044484</v>
          </cell>
          <cell r="E11">
            <v>-6.9813169689680876E-9</v>
          </cell>
          <cell r="F11">
            <v>-1.7453305467540758E-10</v>
          </cell>
          <cell r="G11">
            <v>1.2189685260546584E-17</v>
          </cell>
          <cell r="H11">
            <v>6.9827459528602595E-9</v>
          </cell>
        </row>
        <row r="12">
          <cell r="A12">
            <v>35.966514789999998</v>
          </cell>
          <cell r="B12">
            <v>-95.974841209999994</v>
          </cell>
          <cell r="C12">
            <v>0.62773410355273684</v>
          </cell>
          <cell r="D12">
            <v>-1.6750769781932382</v>
          </cell>
          <cell r="E12">
            <v>-1.9373154702684303E-7</v>
          </cell>
          <cell r="F12">
            <v>-4.1887897594961032E-9</v>
          </cell>
          <cell r="G12">
            <v>9.3858515105195381E-15</v>
          </cell>
          <cell r="H12">
            <v>1.9376120881662115E-7</v>
          </cell>
        </row>
        <row r="13">
          <cell r="A13">
            <v>35.966479970000002</v>
          </cell>
          <cell r="B13">
            <v>-95.974841960000006</v>
          </cell>
          <cell r="C13">
            <v>0.62773349582909144</v>
          </cell>
          <cell r="D13">
            <v>-1.675076991283208</v>
          </cell>
          <cell r="E13">
            <v>-6.077236454071766E-7</v>
          </cell>
          <cell r="F13">
            <v>-1.3089969774782162E-8</v>
          </cell>
          <cell r="G13">
            <v>9.2360068181676545E-14</v>
          </cell>
          <cell r="H13">
            <v>6.0781598590915455E-7</v>
          </cell>
        </row>
        <row r="14">
          <cell r="A14">
            <v>35.966429810000001</v>
          </cell>
          <cell r="B14">
            <v>-95.974843070000006</v>
          </cell>
          <cell r="C14">
            <v>0.62773262037193855</v>
          </cell>
          <cell r="D14">
            <v>-1.6750770106563626</v>
          </cell>
          <cell r="E14">
            <v>-8.7545715288239734E-7</v>
          </cell>
          <cell r="F14">
            <v>-1.9373154636070922E-8</v>
          </cell>
          <cell r="G14">
            <v>1.9166777125773308E-13</v>
          </cell>
          <cell r="H14">
            <v>8.755975588310998E-7</v>
          </cell>
        </row>
        <row r="15">
          <cell r="A15">
            <v>35.966378829999996</v>
          </cell>
          <cell r="B15">
            <v>-95.974844210000001</v>
          </cell>
          <cell r="C15">
            <v>0.62773173060308585</v>
          </cell>
          <cell r="D15">
            <v>-1.675077030553116</v>
          </cell>
          <cell r="E15">
            <v>-8.8976885270763972E-7</v>
          </cell>
          <cell r="F15">
            <v>-1.9896753356007935E-8</v>
          </cell>
          <cell r="G15">
            <v>1.9798698482895153E-13</v>
          </cell>
          <cell r="H15">
            <v>8.8991456854905931E-7</v>
          </cell>
        </row>
        <row r="16">
          <cell r="A16">
            <v>35.966327790000001</v>
          </cell>
          <cell r="B16">
            <v>-95.974845349999995</v>
          </cell>
          <cell r="C16">
            <v>0.6277308397870357</v>
          </cell>
          <cell r="D16">
            <v>-1.6750770504498695</v>
          </cell>
          <cell r="E16">
            <v>-8.9081605014751375E-7</v>
          </cell>
          <cell r="F16">
            <v>-1.989675357805254E-8</v>
          </cell>
          <cell r="G16">
            <v>1.9845314090210346E-13</v>
          </cell>
          <cell r="H16">
            <v>8.9096159491218602E-7</v>
          </cell>
        </row>
        <row r="17">
          <cell r="A17">
            <v>35.966277990000002</v>
          </cell>
          <cell r="B17">
            <v>-95.974846459999995</v>
          </cell>
          <cell r="C17">
            <v>0.62772997061306823</v>
          </cell>
          <cell r="D17">
            <v>-1.6750770698230242</v>
          </cell>
          <cell r="E17">
            <v>-8.6917396746599707E-7</v>
          </cell>
          <cell r="F17">
            <v>-1.9373154636070922E-8</v>
          </cell>
          <cell r="G17">
            <v>1.8892731129128823E-13</v>
          </cell>
          <cell r="H17">
            <v>8.6931538877739911E-7</v>
          </cell>
        </row>
        <row r="18">
          <cell r="A18">
            <v>35.966226980000002</v>
          </cell>
          <cell r="B18">
            <v>-95.974847600000004</v>
          </cell>
          <cell r="C18">
            <v>0.62772908032061681</v>
          </cell>
          <cell r="D18">
            <v>-1.675077089719778</v>
          </cell>
          <cell r="E18">
            <v>-8.9029245142757674E-7</v>
          </cell>
          <cell r="F18">
            <v>-1.9896753800097144E-8</v>
          </cell>
          <cell r="G18">
            <v>1.982199945362503E-13</v>
          </cell>
          <cell r="H18">
            <v>8.9043808215116981E-7</v>
          </cell>
        </row>
        <row r="19">
          <cell r="A19">
            <v>35.966175159999999</v>
          </cell>
          <cell r="B19">
            <v>-95.97484876</v>
          </cell>
          <cell r="C19">
            <v>0.62772817589099839</v>
          </cell>
          <cell r="D19">
            <v>-1.675077109965597</v>
          </cell>
          <cell r="E19">
            <v>-9.0442961842018832E-7</v>
          </cell>
          <cell r="F19">
            <v>-2.024581902126954E-8</v>
          </cell>
          <cell r="G19">
            <v>2.0456536079213864E-13</v>
          </cell>
          <cell r="H19">
            <v>9.0457804703000093E-7</v>
          </cell>
        </row>
        <row r="20">
          <cell r="A20">
            <v>35.96612399</v>
          </cell>
          <cell r="B20">
            <v>-95.974849910000003</v>
          </cell>
          <cell r="C20">
            <v>0.62772728280602008</v>
          </cell>
          <cell r="D20">
            <v>-1.6750771300368834</v>
          </cell>
          <cell r="E20">
            <v>-8.9308497830398181E-7</v>
          </cell>
          <cell r="F20">
            <v>-2.0071286410683342E-8</v>
          </cell>
          <cell r="G20">
            <v>1.9946616945382394E-13</v>
          </cell>
          <cell r="H20">
            <v>8.9323271201593857E-7</v>
          </cell>
        </row>
        <row r="21">
          <cell r="A21">
            <v>35.966071659999997</v>
          </cell>
          <cell r="B21">
            <v>-95.97485691</v>
          </cell>
          <cell r="C21">
            <v>0.62772636947522242</v>
          </cell>
          <cell r="D21">
            <v>-1.6750772522099311</v>
          </cell>
          <cell r="E21">
            <v>-9.1333079765831826E-7</v>
          </cell>
          <cell r="F21">
            <v>-1.221730476785865E-7</v>
          </cell>
          <cell r="G21">
            <v>2.1098772594999118E-13</v>
          </cell>
          <cell r="H21">
            <v>9.1866800521190686E-7</v>
          </cell>
        </row>
        <row r="22">
          <cell r="A22">
            <v>35.966021349999998</v>
          </cell>
          <cell r="B22">
            <v>-95.974864089999997</v>
          </cell>
          <cell r="C22">
            <v>0.62772549140007583</v>
          </cell>
          <cell r="D22">
            <v>-1.6750773775245713</v>
          </cell>
          <cell r="E22">
            <v>-8.7807514659310471E-7</v>
          </cell>
          <cell r="F22">
            <v>-1.2531464022025318E-7</v>
          </cell>
          <cell r="G22">
            <v>1.9532576391948837E-13</v>
          </cell>
          <cell r="H22">
            <v>8.8391348879740733E-7</v>
          </cell>
        </row>
        <row r="23">
          <cell r="A23">
            <v>35.965970390000003</v>
          </cell>
          <cell r="B23">
            <v>-95.974871370000002</v>
          </cell>
          <cell r="C23">
            <v>0.62772460198028901</v>
          </cell>
          <cell r="D23">
            <v>-1.675077504584541</v>
          </cell>
          <cell r="E23">
            <v>-8.8941978682033351E-7</v>
          </cell>
          <cell r="F23">
            <v>-1.2705996965678423E-7</v>
          </cell>
          <cell r="G23">
            <v>2.0041080184997428E-13</v>
          </cell>
          <cell r="H23">
            <v>8.9534530065218448E-7</v>
          </cell>
        </row>
        <row r="24">
          <cell r="A24">
            <v>35.965920079999997</v>
          </cell>
          <cell r="B24">
            <v>-95.974878559999993</v>
          </cell>
          <cell r="C24">
            <v>0.62772372390514231</v>
          </cell>
          <cell r="D24">
            <v>-1.6750776300737138</v>
          </cell>
          <cell r="E24">
            <v>-8.7807514670412701E-7</v>
          </cell>
          <cell r="F24">
            <v>-1.2548917283083938E-7</v>
          </cell>
          <cell r="G24">
            <v>1.9533293927277643E-13</v>
          </cell>
          <cell r="H24">
            <v>8.8392972406812787E-7</v>
          </cell>
        </row>
        <row r="25">
          <cell r="A25">
            <v>35.965871030000002</v>
          </cell>
          <cell r="B25">
            <v>-95.974885569999998</v>
          </cell>
          <cell r="C25">
            <v>0.62772286782114428</v>
          </cell>
          <cell r="D25">
            <v>-1.6750777524212945</v>
          </cell>
          <cell r="E25">
            <v>-8.5608399802428181E-7</v>
          </cell>
          <cell r="F25">
            <v>-1.2234758073326191E-7</v>
          </cell>
          <cell r="G25">
            <v>1.8567139404676352E-13</v>
          </cell>
          <cell r="H25">
            <v>8.6179207247868086E-7</v>
          </cell>
        </row>
        <row r="26">
          <cell r="A26">
            <v>35.965827259999998</v>
          </cell>
          <cell r="B26">
            <v>-95.974891819999996</v>
          </cell>
          <cell r="C26">
            <v>0.62772210389053062</v>
          </cell>
          <cell r="D26">
            <v>-1.6750778615043731</v>
          </cell>
          <cell r="E26">
            <v>-7.6393061365642723E-7</v>
          </cell>
          <cell r="F26">
            <v>-1.0908307856993815E-7</v>
          </cell>
          <cell r="G26">
            <v>1.478462000785972E-13</v>
          </cell>
          <cell r="H26">
            <v>7.6901547469112603E-7</v>
          </cell>
        </row>
        <row r="27">
          <cell r="A27">
            <v>35.965772149999999</v>
          </cell>
          <cell r="B27">
            <v>-95.974899690000001</v>
          </cell>
          <cell r="C27">
            <v>0.62772114203957985</v>
          </cell>
          <cell r="D27">
            <v>-1.6750779988617852</v>
          </cell>
          <cell r="E27">
            <v>-9.6185095077583327E-7</v>
          </cell>
          <cell r="F27">
            <v>-1.3735741211107211E-7</v>
          </cell>
          <cell r="G27">
            <v>2.3437915258421166E-13</v>
          </cell>
          <cell r="H27">
            <v>9.6825441405496326E-7</v>
          </cell>
        </row>
        <row r="28">
          <cell r="A28">
            <v>35.965769999999999</v>
          </cell>
          <cell r="B28">
            <v>-95.974900000000005</v>
          </cell>
          <cell r="C28">
            <v>0.62772110451500096</v>
          </cell>
          <cell r="D28">
            <v>-1.6750780042723057</v>
          </cell>
          <cell r="E28">
            <v>-3.7524578888614712E-8</v>
          </cell>
          <cell r="F28">
            <v>-5.4105204760901415E-9</v>
          </cell>
          <cell r="G28">
            <v>3.5681763904052108E-16</v>
          </cell>
          <cell r="H28">
            <v>3.7779234457067606E-8</v>
          </cell>
        </row>
        <row r="29">
          <cell r="A29">
            <v>35.965769999999999</v>
          </cell>
          <cell r="B29">
            <v>-95.974923739999994</v>
          </cell>
          <cell r="C29">
            <v>0.62772110451500096</v>
          </cell>
          <cell r="D29">
            <v>-1.6750784186134702</v>
          </cell>
          <cell r="E29">
            <v>0</v>
          </cell>
          <cell r="F29">
            <v>-4.1434116448968439E-7</v>
          </cell>
          <cell r="G29">
            <v>2.8115657326305277E-14</v>
          </cell>
          <cell r="H29">
            <v>3.3535448305520262E-7</v>
          </cell>
        </row>
        <row r="30">
          <cell r="A30">
            <v>35.965769999999999</v>
          </cell>
          <cell r="B30">
            <v>-95.975061060000002</v>
          </cell>
          <cell r="C30">
            <v>0.62772110451500096</v>
          </cell>
          <cell r="D30">
            <v>-1.6750808152995991</v>
          </cell>
          <cell r="E30">
            <v>0</v>
          </cell>
          <cell r="F30">
            <v>-2.3966861288915453E-6</v>
          </cell>
          <cell r="G30">
            <v>9.4070705616799528E-13</v>
          </cell>
          <cell r="H30">
            <v>1.93980107863491E-6</v>
          </cell>
        </row>
        <row r="31">
          <cell r="A31">
            <v>35.965769999999999</v>
          </cell>
          <cell r="B31">
            <v>-95.975202789999997</v>
          </cell>
          <cell r="C31">
            <v>0.62772110451500096</v>
          </cell>
          <cell r="D31">
            <v>-1.6750832889547478</v>
          </cell>
          <cell r="E31">
            <v>0</v>
          </cell>
          <cell r="F31">
            <v>-2.473655148715892E-6</v>
          </cell>
          <cell r="G31">
            <v>1.0020984406194787E-12</v>
          </cell>
          <cell r="H31">
            <v>2.0020973409100903E-6</v>
          </cell>
        </row>
        <row r="32">
          <cell r="A32">
            <v>35.965769999999999</v>
          </cell>
          <cell r="B32">
            <v>-95.975339550000001</v>
          </cell>
          <cell r="C32">
            <v>0.62772110451500096</v>
          </cell>
          <cell r="D32">
            <v>-1.6750856758670329</v>
          </cell>
          <cell r="E32">
            <v>0</v>
          </cell>
          <cell r="F32">
            <v>-2.3869122851571944E-6</v>
          </cell>
          <cell r="G32">
            <v>9.3305017016400674E-13</v>
          </cell>
          <cell r="H32">
            <v>1.9318904421983115E-6</v>
          </cell>
        </row>
        <row r="33">
          <cell r="A33">
            <v>35.965769999999999</v>
          </cell>
          <cell r="B33">
            <v>-95.975482889999995</v>
          </cell>
          <cell r="C33">
            <v>0.62772110451500096</v>
          </cell>
          <cell r="D33">
            <v>-1.6750881776219826</v>
          </cell>
          <cell r="E33">
            <v>0</v>
          </cell>
          <cell r="F33">
            <v>-2.5017549496464397E-6</v>
          </cell>
          <cell r="G33">
            <v>1.0249946824488722E-12</v>
          </cell>
          <cell r="H33">
            <v>2.0248404208225615E-6</v>
          </cell>
        </row>
        <row r="34">
          <cell r="A34">
            <v>35.965769999999999</v>
          </cell>
          <cell r="B34">
            <v>-95.975628589999999</v>
          </cell>
          <cell r="C34">
            <v>0.62772110451500096</v>
          </cell>
          <cell r="D34">
            <v>-1.6750907205667027</v>
          </cell>
          <cell r="E34">
            <v>0</v>
          </cell>
          <cell r="F34">
            <v>-2.5429447201297251E-6</v>
          </cell>
          <cell r="G34">
            <v>1.0590242762466132E-12</v>
          </cell>
          <cell r="H34">
            <v>2.0581781033204947E-6</v>
          </cell>
        </row>
        <row r="35">
          <cell r="A35">
            <v>35.965769999999999</v>
          </cell>
          <cell r="B35">
            <v>-95.975759909999994</v>
          </cell>
          <cell r="C35">
            <v>0.62772110451500096</v>
          </cell>
          <cell r="D35">
            <v>-1.6750930125330765</v>
          </cell>
          <cell r="E35">
            <v>0</v>
          </cell>
          <cell r="F35">
            <v>-2.2919663738019125E-6</v>
          </cell>
          <cell r="G35">
            <v>8.6029730073934037E-13</v>
          </cell>
          <cell r="H35">
            <v>1.8550442590295112E-6</v>
          </cell>
        </row>
        <row r="36">
          <cell r="A36">
            <v>35.965769999999999</v>
          </cell>
          <cell r="B36">
            <v>-95.975759999999994</v>
          </cell>
          <cell r="C36">
            <v>0.62772110451500096</v>
          </cell>
          <cell r="D36">
            <v>-1.6750930141038727</v>
          </cell>
          <cell r="E36">
            <v>0</v>
          </cell>
          <cell r="F36">
            <v>-1.5707961598110387E-9</v>
          </cell>
          <cell r="G36">
            <v>4.0408407823565361E-19</v>
          </cell>
          <cell r="H36">
            <v>1.2713521592944318E-9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aversine calc throgh garden"/>
      <sheetName val="Garden Stroll"/>
    </sheetNames>
    <sheetDataSet>
      <sheetData sheetId="0">
        <row r="8">
          <cell r="Q8">
            <v>8.6770892139089251E-7</v>
          </cell>
        </row>
        <row r="9">
          <cell r="Q9">
            <v>5.7847225508273457E-7</v>
          </cell>
        </row>
        <row r="10">
          <cell r="Q10">
            <v>1.0123256016719382E-6</v>
          </cell>
        </row>
        <row r="11">
          <cell r="Q11">
            <v>4.3385359779028503E-7</v>
          </cell>
        </row>
        <row r="12">
          <cell r="Q12">
            <v>8.6770640323497701E-7</v>
          </cell>
        </row>
        <row r="13">
          <cell r="Q13">
            <v>2.892353057069099E-7</v>
          </cell>
        </row>
        <row r="14">
          <cell r="Q14">
            <v>1.5907928081770856E-6</v>
          </cell>
        </row>
        <row r="15">
          <cell r="Q15">
            <v>1.3015566101844161E-6</v>
          </cell>
        </row>
        <row r="16">
          <cell r="Q16">
            <v>1.4461716224013366E-7</v>
          </cell>
        </row>
        <row r="17">
          <cell r="Q17">
            <v>-1.7354061656928977E-6</v>
          </cell>
        </row>
        <row r="18">
          <cell r="Q18">
            <v>-7.2308691860141445E-7</v>
          </cell>
        </row>
        <row r="19">
          <cell r="Q19">
            <v>-1.1569405667038324E-6</v>
          </cell>
        </row>
        <row r="20">
          <cell r="Q20">
            <v>-2.8923527432787822E-7</v>
          </cell>
        </row>
        <row r="21">
          <cell r="Q21">
            <v>-1.1569420650790592E-6</v>
          </cell>
        </row>
        <row r="22">
          <cell r="Q22">
            <v>-4.3385352287045108E-7</v>
          </cell>
        </row>
        <row r="23">
          <cell r="Q23">
            <v>-8.6770776207932873E-7</v>
          </cell>
        </row>
        <row r="24">
          <cell r="Q24">
            <v>-5.7847219337518263E-7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inkedin.com/in/craigchamplin" TargetMode="External"/><Relationship Id="rId2" Type="http://schemas.openxmlformats.org/officeDocument/2006/relationships/hyperlink" Target="mailto:cchampli@mines.edu" TargetMode="External"/><Relationship Id="rId1" Type="http://schemas.openxmlformats.org/officeDocument/2006/relationships/hyperlink" Target="mailto:craig.xhamplin@me.com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s://craigchampli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FFEEF-DA9E-9D41-ABAB-AFF0BC96635C}">
  <sheetPr>
    <tabColor theme="5" tint="0.39997558519241921"/>
  </sheetPr>
  <dimension ref="A1:E36"/>
  <sheetViews>
    <sheetView tabSelected="1" workbookViewId="0">
      <selection activeCell="A2" sqref="A2"/>
    </sheetView>
  </sheetViews>
  <sheetFormatPr baseColWidth="10" defaultRowHeight="16" x14ac:dyDescent="0.2"/>
  <sheetData>
    <row r="1" spans="1:5" ht="31" x14ac:dyDescent="0.35">
      <c r="A1" s="31" t="s">
        <v>47</v>
      </c>
      <c r="D1" t="s">
        <v>64</v>
      </c>
      <c r="E1" t="s">
        <v>65</v>
      </c>
    </row>
    <row r="3" spans="1:5" x14ac:dyDescent="0.2">
      <c r="A3" t="s">
        <v>59</v>
      </c>
    </row>
    <row r="4" spans="1:5" x14ac:dyDescent="0.2">
      <c r="A4" t="s">
        <v>60</v>
      </c>
    </row>
    <row r="5" spans="1:5" x14ac:dyDescent="0.2">
      <c r="A5" t="s">
        <v>61</v>
      </c>
    </row>
    <row r="6" spans="1:5" x14ac:dyDescent="0.2">
      <c r="A6" t="s">
        <v>62</v>
      </c>
    </row>
    <row r="7" spans="1:5" x14ac:dyDescent="0.2">
      <c r="A7" t="s">
        <v>63</v>
      </c>
    </row>
    <row r="10" spans="1:5" ht="19" x14ac:dyDescent="0.25">
      <c r="B10" s="18" t="s">
        <v>58</v>
      </c>
    </row>
    <row r="32" spans="2:3" x14ac:dyDescent="0.2">
      <c r="B32" t="s">
        <v>48</v>
      </c>
      <c r="C32" t="s">
        <v>49</v>
      </c>
    </row>
    <row r="33" spans="2:3" x14ac:dyDescent="0.2">
      <c r="B33" t="s">
        <v>56</v>
      </c>
      <c r="C33" s="32" t="s">
        <v>57</v>
      </c>
    </row>
    <row r="34" spans="2:3" x14ac:dyDescent="0.2">
      <c r="B34" t="s">
        <v>50</v>
      </c>
      <c r="C34" s="32" t="s">
        <v>52</v>
      </c>
    </row>
    <row r="35" spans="2:3" x14ac:dyDescent="0.2">
      <c r="B35" t="s">
        <v>51</v>
      </c>
      <c r="C35" s="32" t="s">
        <v>53</v>
      </c>
    </row>
    <row r="36" spans="2:3" x14ac:dyDescent="0.2">
      <c r="B36" t="s">
        <v>54</v>
      </c>
      <c r="C36" s="32" t="s">
        <v>55</v>
      </c>
    </row>
  </sheetData>
  <hyperlinks>
    <hyperlink ref="C34" r:id="rId1" xr:uid="{02FDF63F-8049-D74D-83C9-71890DFAAD8B}"/>
    <hyperlink ref="C35" r:id="rId2" xr:uid="{4E43B736-9D4D-2245-AEA3-797744FFCDB2}"/>
    <hyperlink ref="C36" r:id="rId3" xr:uid="{23BC22B1-56EE-B646-90FF-4703ADE1D7A4}"/>
    <hyperlink ref="C33" r:id="rId4" xr:uid="{66B346FE-A928-DD4D-A800-989092DEA37C}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2C4F7-D629-BA4A-96A0-106BD13AD512}">
  <sheetPr>
    <tabColor theme="5" tint="0.39997558519241921"/>
  </sheetPr>
  <dimension ref="A1:L34"/>
  <sheetViews>
    <sheetView zoomScale="110" zoomScaleNormal="110" workbookViewId="0">
      <selection activeCell="A2" sqref="A2"/>
    </sheetView>
  </sheetViews>
  <sheetFormatPr baseColWidth="10" defaultRowHeight="16" x14ac:dyDescent="0.2"/>
  <cols>
    <col min="5" max="6" width="12.83203125" bestFit="1" customWidth="1"/>
    <col min="7" max="8" width="12.1640625" bestFit="1" customWidth="1"/>
    <col min="11" max="12" width="12.5" bestFit="1" customWidth="1"/>
    <col min="17" max="17" width="14.33203125" customWidth="1"/>
    <col min="19" max="19" width="13.33203125" customWidth="1"/>
  </cols>
  <sheetData>
    <row r="1" spans="1:11" ht="21" x14ac:dyDescent="0.25">
      <c r="A1" s="28" t="s">
        <v>42</v>
      </c>
      <c r="F1" t="s">
        <v>17</v>
      </c>
      <c r="I1" s="30" t="s">
        <v>37</v>
      </c>
      <c r="J1" t="s">
        <v>40</v>
      </c>
    </row>
    <row r="2" spans="1:11" x14ac:dyDescent="0.2">
      <c r="F2" t="s">
        <v>16</v>
      </c>
      <c r="I2" s="30" t="s">
        <v>46</v>
      </c>
      <c r="J2" t="s">
        <v>41</v>
      </c>
    </row>
    <row r="3" spans="1:11" ht="19" x14ac:dyDescent="0.25">
      <c r="E3" s="3" t="s">
        <v>31</v>
      </c>
      <c r="F3">
        <f>3958.756*5280</f>
        <v>20902231.68</v>
      </c>
      <c r="G3" t="s">
        <v>0</v>
      </c>
      <c r="I3" s="30" t="s">
        <v>38</v>
      </c>
      <c r="J3" t="s">
        <v>24</v>
      </c>
    </row>
    <row r="4" spans="1:11" x14ac:dyDescent="0.2">
      <c r="F4">
        <f>6371000 * 3.28084</f>
        <v>20902231.640000001</v>
      </c>
    </row>
    <row r="5" spans="1:11" x14ac:dyDescent="0.2">
      <c r="I5" t="s">
        <v>39</v>
      </c>
    </row>
    <row r="6" spans="1:11" s="18" customFormat="1" ht="20" thickBot="1" x14ac:dyDescent="0.3">
      <c r="A6" s="27" t="s">
        <v>18</v>
      </c>
      <c r="B6" s="26" t="s">
        <v>19</v>
      </c>
      <c r="C6" s="24" t="s">
        <v>13</v>
      </c>
      <c r="D6" s="23" t="s">
        <v>12</v>
      </c>
      <c r="E6" s="24" t="s">
        <v>22</v>
      </c>
      <c r="F6" s="23" t="s">
        <v>23</v>
      </c>
      <c r="G6" s="24" t="s">
        <v>7</v>
      </c>
      <c r="H6" s="23" t="s">
        <v>6</v>
      </c>
      <c r="I6" s="22" t="s">
        <v>66</v>
      </c>
      <c r="J6" s="20" t="s">
        <v>5</v>
      </c>
      <c r="K6" s="19" t="s">
        <v>4</v>
      </c>
    </row>
    <row r="7" spans="1:11" x14ac:dyDescent="0.2">
      <c r="A7">
        <v>51.079513501242801</v>
      </c>
      <c r="B7">
        <v>-114.14806797213799</v>
      </c>
      <c r="C7" s="16" cm="1">
        <f t="array" ref="C7:C30">lat*PI()/180</f>
        <v>0.89150569091358356</v>
      </c>
      <c r="D7" s="15" cm="1">
        <f t="array" ref="D7:D30">long*PI()/180</f>
        <v>-1.9922596209040948</v>
      </c>
      <c r="E7" s="16"/>
      <c r="F7" s="15"/>
      <c r="G7" s="16"/>
      <c r="H7" s="15"/>
      <c r="I7" s="14"/>
      <c r="J7" s="12"/>
      <c r="K7" s="11"/>
    </row>
    <row r="8" spans="1:11" x14ac:dyDescent="0.2">
      <c r="A8">
        <v>51.079591377641997</v>
      </c>
      <c r="B8">
        <v>-114.14792139133</v>
      </c>
      <c r="C8" s="9">
        <v>0.89150705011315901</v>
      </c>
      <c r="D8" s="8">
        <v>-1.9922570625863754</v>
      </c>
      <c r="E8" s="9" cm="1">
        <f t="array" ref="E8:E30">latr-latrm1</f>
        <v>1.3591995754458353E-6</v>
      </c>
      <c r="F8" s="8" cm="1">
        <f t="array" ref="F8:F30">longr-longrm1</f>
        <v>2.5583177194477003E-6</v>
      </c>
      <c r="G8" s="9" cm="1">
        <f t="array" ref="G8:G30">dLong*COS(latrm1)</f>
        <v>1.6072408081139594E-6</v>
      </c>
      <c r="H8" s="8" cm="1">
        <f t="array" ref="H8:H30">COS(latrm1)</f>
        <v>0.62824128367485843</v>
      </c>
      <c r="I8" s="7" cm="1">
        <f t="array" ref="I8:I30">SQRT(Xterm^2 + dLat^2) *Rconst</f>
        <v>43.997318437130836</v>
      </c>
      <c r="J8" s="5">
        <v>44.091533135615101</v>
      </c>
      <c r="K8" s="4">
        <f>ABS((J8-I8)/J8 )*100</f>
        <v>0.21367979696800982</v>
      </c>
    </row>
    <row r="9" spans="1:11" x14ac:dyDescent="0.2">
      <c r="A9">
        <v>51.079564942722101</v>
      </c>
      <c r="B9">
        <v>-114.14785860528499</v>
      </c>
      <c r="C9" s="9">
        <v>0.89150658873676936</v>
      </c>
      <c r="D9" s="8">
        <v>-1.9922559667631654</v>
      </c>
      <c r="E9" s="9">
        <v>-4.6137638964882655E-7</v>
      </c>
      <c r="F9" s="8">
        <v>1.0958232099511633E-6</v>
      </c>
      <c r="G9" s="9">
        <v>6.884402212859138E-7</v>
      </c>
      <c r="H9" s="8">
        <v>0.62824022619177322</v>
      </c>
      <c r="I9" s="7">
        <v>17.322617927802298</v>
      </c>
      <c r="J9" s="5">
        <v>17.366692721525599</v>
      </c>
      <c r="K9" s="4">
        <f>ABS((J9-I9)/J9 )*100</f>
        <v>0.25378921841964153</v>
      </c>
    </row>
    <row r="10" spans="1:11" x14ac:dyDescent="0.2">
      <c r="A10">
        <v>51.0796402935649</v>
      </c>
      <c r="B10">
        <v>-114.147724816962</v>
      </c>
      <c r="C10" s="9">
        <v>0.89150790385707035</v>
      </c>
      <c r="D10" s="8">
        <v>-1.9922536317164283</v>
      </c>
      <c r="E10" s="9">
        <v>1.3151203009931223E-6</v>
      </c>
      <c r="F10" s="8">
        <v>2.3350467370786276E-6</v>
      </c>
      <c r="G10" s="9">
        <v>1.4669711284583721E-6</v>
      </c>
      <c r="H10" s="8">
        <v>0.6282405851514975</v>
      </c>
      <c r="I10" s="7">
        <v>41.180821781168973</v>
      </c>
      <c r="J10" s="5">
        <v>41.263717786527103</v>
      </c>
      <c r="K10" s="4">
        <f>ABS((J10-I10)/J10 )*100</f>
        <v>0.20089320547165027</v>
      </c>
    </row>
    <row r="11" spans="1:11" x14ac:dyDescent="0.2">
      <c r="A11">
        <v>51.0796143108211</v>
      </c>
      <c r="B11">
        <v>-114.147659624076</v>
      </c>
      <c r="C11" s="9">
        <v>0.89150745037264234</v>
      </c>
      <c r="D11" s="8">
        <v>-1.9922524938859187</v>
      </c>
      <c r="E11" s="9">
        <v>-4.5348442800907662E-7</v>
      </c>
      <c r="F11" s="8">
        <v>1.1378305095899321E-6</v>
      </c>
      <c r="G11" s="9">
        <v>7.1483014093200727E-7</v>
      </c>
      <c r="H11" s="8">
        <v>0.62823956196220132</v>
      </c>
      <c r="I11" s="7">
        <v>17.694578727766132</v>
      </c>
      <c r="J11" s="5">
        <v>17.737750642382501</v>
      </c>
      <c r="K11" s="4">
        <f>ABS((J11-I11)/J11 )*100</f>
        <v>0.24339001876153679</v>
      </c>
    </row>
    <row r="12" spans="1:11" x14ac:dyDescent="0.2">
      <c r="A12">
        <v>51.079690647936502</v>
      </c>
      <c r="B12">
        <v>-114.14752611732401</v>
      </c>
      <c r="C12" s="9">
        <v>0.89150878270664768</v>
      </c>
      <c r="D12" s="8">
        <v>-1.9922501637535228</v>
      </c>
      <c r="E12" s="9">
        <v>1.3323340053439381E-6</v>
      </c>
      <c r="F12" s="8">
        <v>2.3301323959223907E-6</v>
      </c>
      <c r="G12" s="9">
        <v>1.4638821778452274E-6</v>
      </c>
      <c r="H12" s="8">
        <v>0.62823991478207175</v>
      </c>
      <c r="I12" s="7">
        <v>41.374091606774421</v>
      </c>
      <c r="J12" s="5">
        <v>41.454307014123202</v>
      </c>
      <c r="K12" s="4">
        <f>ABS((J12-I12)/J12 )*100</f>
        <v>0.19350319213261108</v>
      </c>
    </row>
    <row r="13" spans="1:11" x14ac:dyDescent="0.2">
      <c r="A13">
        <v>51.079682110890097</v>
      </c>
      <c r="B13">
        <v>-114.147386419936</v>
      </c>
      <c r="C13" s="9">
        <v>0.89150863370707945</v>
      </c>
      <c r="D13" s="8">
        <v>-1.9922477255741458</v>
      </c>
      <c r="E13" s="9">
        <v>-1.4899956823910543E-7</v>
      </c>
      <c r="F13" s="8">
        <v>2.4381793770622551E-6</v>
      </c>
      <c r="G13" s="9">
        <v>1.5317590766946217E-6</v>
      </c>
      <c r="H13" s="8">
        <v>0.62823887819944868</v>
      </c>
      <c r="I13" s="7">
        <v>32.168301902733951</v>
      </c>
      <c r="J13" s="5">
        <v>32.269688582331902</v>
      </c>
      <c r="K13" s="4">
        <f>ABS((J13-I13)/J13 )*100</f>
        <v>0.31418549125218892</v>
      </c>
    </row>
    <row r="14" spans="1:11" x14ac:dyDescent="0.2">
      <c r="A14">
        <v>51.079637295075401</v>
      </c>
      <c r="B14">
        <v>-114.14744338343399</v>
      </c>
      <c r="C14" s="9">
        <v>0.89150785152355605</v>
      </c>
      <c r="D14" s="8">
        <v>-1.9922487197747394</v>
      </c>
      <c r="E14" s="9">
        <v>-7.82183523395652E-7</v>
      </c>
      <c r="F14" s="8">
        <v>-9.9420059362920199E-7</v>
      </c>
      <c r="G14" s="9">
        <v>-6.245955808992542E-7</v>
      </c>
      <c r="H14" s="8">
        <v>0.62823899412416162</v>
      </c>
      <c r="I14" s="7">
        <v>20.922399960589004</v>
      </c>
      <c r="J14" s="5">
        <v>20.958016289432901</v>
      </c>
      <c r="K14" s="4">
        <f>ABS((J14-I14)/J14 )*100</f>
        <v>0.16994131673547253</v>
      </c>
    </row>
    <row r="15" spans="1:11" x14ac:dyDescent="0.2">
      <c r="A15">
        <v>51.0795631456904</v>
      </c>
      <c r="B15">
        <v>-114.147299810349</v>
      </c>
      <c r="C15" s="9">
        <v>0.89150655737264939</v>
      </c>
      <c r="D15" s="8">
        <v>-1.9922462139516888</v>
      </c>
      <c r="E15" s="9">
        <v>-1.2941509066610735E-6</v>
      </c>
      <c r="F15" s="8">
        <v>2.5058230506136425E-6</v>
      </c>
      <c r="G15" s="9">
        <v>1.5742572777006905E-6</v>
      </c>
      <c r="H15" s="8">
        <v>0.62823960267871903</v>
      </c>
      <c r="I15" s="7">
        <v>42.597048390833159</v>
      </c>
      <c r="J15" s="5">
        <v>42.690700105707698</v>
      </c>
      <c r="K15" s="4">
        <f>ABS((J15-I15)/J15 )*100</f>
        <v>0.21937263770012141</v>
      </c>
    </row>
    <row r="16" spans="1:11" x14ac:dyDescent="0.2">
      <c r="A16">
        <v>51.079516433621897</v>
      </c>
      <c r="B16">
        <v>-114.147356370587</v>
      </c>
      <c r="C16" s="9">
        <v>0.89150574209325362</v>
      </c>
      <c r="D16" s="8">
        <v>-1.9922472011140677</v>
      </c>
      <c r="E16" s="9">
        <v>-8.1527939577163977E-7</v>
      </c>
      <c r="F16" s="8">
        <v>-9.8716237895146719E-7</v>
      </c>
      <c r="G16" s="9">
        <v>-6.2017549468063687E-7</v>
      </c>
      <c r="H16" s="8">
        <v>0.62824060955338246</v>
      </c>
      <c r="I16" s="7">
        <v>21.411254227016567</v>
      </c>
      <c r="J16" s="5">
        <v>21.450574313580098</v>
      </c>
      <c r="K16" s="4">
        <f>ABS((J16-I16)/J16 )*100</f>
        <v>0.18330551895124975</v>
      </c>
    </row>
    <row r="17" spans="1:12" x14ac:dyDescent="0.2">
      <c r="A17">
        <v>51.079453611305503</v>
      </c>
      <c r="B17">
        <v>-114.147218340832</v>
      </c>
      <c r="C17" s="9">
        <v>0.89150464563698884</v>
      </c>
      <c r="D17" s="8">
        <v>-1.9922447920403772</v>
      </c>
      <c r="E17" s="9">
        <v>-1.096456264781942E-6</v>
      </c>
      <c r="F17" s="8">
        <v>2.4090736905346688E-6</v>
      </c>
      <c r="G17" s="9">
        <v>1.5134794518825637E-6</v>
      </c>
      <c r="H17" s="8">
        <v>0.62824124385612412</v>
      </c>
      <c r="I17" s="7">
        <v>39.064455816665557</v>
      </c>
      <c r="J17" s="5">
        <v>39.164556503305398</v>
      </c>
      <c r="K17" s="4">
        <f>ABS((J17-I17)/J17 )*100</f>
        <v>0.25558999150518408</v>
      </c>
    </row>
    <row r="18" spans="1:12" x14ac:dyDescent="0.2">
      <c r="A18">
        <v>51.079401254959301</v>
      </c>
      <c r="B18">
        <v>-114.147293053165</v>
      </c>
      <c r="C18" s="9">
        <v>0.89150373184636333</v>
      </c>
      <c r="D18" s="8">
        <v>-1.9922460960165802</v>
      </c>
      <c r="E18" s="9">
        <v>-9.1379062550078771E-7</v>
      </c>
      <c r="F18" s="8">
        <v>-1.3039762030153668E-6</v>
      </c>
      <c r="G18" s="9">
        <v>-8.1921274411499678E-7</v>
      </c>
      <c r="H18" s="8">
        <v>0.62824209691911281</v>
      </c>
      <c r="I18" s="7">
        <v>25.652095766726848</v>
      </c>
      <c r="J18" s="5">
        <v>25.7096717035481</v>
      </c>
      <c r="K18" s="4">
        <f>ABS((J18-I18)/J18 )*100</f>
        <v>0.22394660455079154</v>
      </c>
    </row>
    <row r="19" spans="1:12" x14ac:dyDescent="0.2">
      <c r="A19">
        <v>51.079392153396697</v>
      </c>
      <c r="B19">
        <v>-114.147174218</v>
      </c>
      <c r="C19" s="9">
        <v>0.89150357299412886</v>
      </c>
      <c r="D19" s="8">
        <v>-1.9922440219516835</v>
      </c>
      <c r="E19" s="9">
        <v>-1.588522344775356E-7</v>
      </c>
      <c r="F19" s="8">
        <v>2.0740648967176867E-6</v>
      </c>
      <c r="G19" s="9">
        <v>1.3030163544067462E-6</v>
      </c>
      <c r="H19" s="8">
        <v>0.62824280786432285</v>
      </c>
      <c r="I19" s="7">
        <v>27.437598091832054</v>
      </c>
      <c r="J19" s="5">
        <v>27.537820156630499</v>
      </c>
      <c r="K19" s="4">
        <f>ABS((J19-I19)/J19 )*100</f>
        <v>0.36394334855990101</v>
      </c>
    </row>
    <row r="20" spans="1:12" x14ac:dyDescent="0.2">
      <c r="A20">
        <v>51.079340628692499</v>
      </c>
      <c r="B20">
        <v>-114.147249246947</v>
      </c>
      <c r="C20" s="9">
        <v>0.89150267371839442</v>
      </c>
      <c r="D20" s="8">
        <v>-1.9922453314538429</v>
      </c>
      <c r="E20" s="9">
        <v>-8.9927573443393527E-7</v>
      </c>
      <c r="F20" s="8">
        <v>-1.3095021593745315E-6</v>
      </c>
      <c r="G20" s="9">
        <v>-8.226854753509391E-7</v>
      </c>
      <c r="H20" s="8">
        <v>0.62824293145410715</v>
      </c>
      <c r="I20" s="7">
        <v>25.47593835909862</v>
      </c>
      <c r="J20" s="5">
        <v>25.513663894043599</v>
      </c>
      <c r="K20" s="4">
        <f>ABS((J20-I20)/J20 )*100</f>
        <v>0.14786404297575764</v>
      </c>
    </row>
    <row r="21" spans="1:12" x14ac:dyDescent="0.2">
      <c r="A21">
        <v>51.079268902784698</v>
      </c>
      <c r="B21">
        <v>-114.14708494520799</v>
      </c>
      <c r="C21" s="9">
        <v>0.89150142186514436</v>
      </c>
      <c r="D21" s="8">
        <v>-1.9922424638475305</v>
      </c>
      <c r="E21" s="9">
        <v>-1.2518532500616075E-6</v>
      </c>
      <c r="F21" s="8">
        <v>2.8676063124066786E-6</v>
      </c>
      <c r="G21" s="9">
        <v>1.8015554022884973E-6</v>
      </c>
      <c r="H21" s="8">
        <v>0.62824363110587411</v>
      </c>
      <c r="I21" s="7">
        <v>45.855220519872262</v>
      </c>
      <c r="J21" s="5">
        <v>45.960725963636101</v>
      </c>
      <c r="K21" s="4">
        <f>ABS((J21-I21)/J21 )*100</f>
        <v>0.22955565116032839</v>
      </c>
    </row>
    <row r="22" spans="1:12" x14ac:dyDescent="0.2">
      <c r="A22">
        <v>51.079211479993099</v>
      </c>
      <c r="B22">
        <v>-114.14717934392699</v>
      </c>
      <c r="C22" s="9">
        <v>0.89150041964836524</v>
      </c>
      <c r="D22" s="8">
        <v>-1.9922441114159868</v>
      </c>
      <c r="E22" s="9">
        <v>-1.0022167791223779E-6</v>
      </c>
      <c r="F22" s="8">
        <v>-1.6475684563310722E-6</v>
      </c>
      <c r="G22" s="9">
        <v>-1.0350759941703402E-6</v>
      </c>
      <c r="H22" s="8">
        <v>0.62824460506807978</v>
      </c>
      <c r="I22" s="7">
        <v>30.115327147972479</v>
      </c>
      <c r="J22" s="5">
        <v>30.171092211308299</v>
      </c>
      <c r="K22" s="4">
        <f>ABS((J22-I22)/J22 )*100</f>
        <v>0.18482944848419591</v>
      </c>
    </row>
    <row r="23" spans="1:12" x14ac:dyDescent="0.2">
      <c r="A23">
        <v>51.079208868563398</v>
      </c>
      <c r="B23">
        <v>-114.147039100562</v>
      </c>
      <c r="C23" s="9">
        <v>0.89150037407031879</v>
      </c>
      <c r="D23" s="8">
        <v>-1.9922416637075135</v>
      </c>
      <c r="E23" s="9">
        <v>-4.5578046448113696E-8</v>
      </c>
      <c r="F23" s="8">
        <v>2.4477084732410503E-6</v>
      </c>
      <c r="G23" s="9">
        <v>1.537761551669953E-6</v>
      </c>
      <c r="H23" s="8">
        <v>0.62824538480833791</v>
      </c>
      <c r="I23" s="7">
        <v>32.156763509091419</v>
      </c>
      <c r="J23" s="5">
        <v>32.248154083559498</v>
      </c>
      <c r="K23" s="4">
        <f>ABS((J23-I23)/J23 )*100</f>
        <v>0.28339784730398254</v>
      </c>
    </row>
    <row r="24" spans="1:12" x14ac:dyDescent="0.2">
      <c r="A24">
        <v>51.0791494031903</v>
      </c>
      <c r="B24">
        <v>-114.147133758686</v>
      </c>
      <c r="C24" s="9">
        <v>0.8914993362037672</v>
      </c>
      <c r="D24" s="8">
        <v>-1.9922433158034412</v>
      </c>
      <c r="E24" s="9">
        <v>-1.0378665515897723E-6</v>
      </c>
      <c r="F24" s="8">
        <v>-1.652095927617836E-6</v>
      </c>
      <c r="G24" s="9">
        <v>-1.0379217003705621E-6</v>
      </c>
      <c r="H24" s="8">
        <v>0.62824542026875263</v>
      </c>
      <c r="I24" s="7">
        <v>30.680378219257317</v>
      </c>
      <c r="J24" s="5">
        <v>30.744390478364799</v>
      </c>
      <c r="K24" s="4">
        <f>ABS((J24-I24)/J24 )*100</f>
        <v>0.20820793032969151</v>
      </c>
    </row>
    <row r="25" spans="1:12" x14ac:dyDescent="0.2">
      <c r="A25">
        <v>51.079039294959998</v>
      </c>
      <c r="B25">
        <v>-114.147170383278</v>
      </c>
      <c r="C25" s="9">
        <v>0.89149741445261488</v>
      </c>
      <c r="D25" s="8">
        <v>-1.9922439550231588</v>
      </c>
      <c r="E25" s="9">
        <v>-1.9217511523228481E-6</v>
      </c>
      <c r="F25" s="8">
        <v>-6.3921971760194651E-7</v>
      </c>
      <c r="G25" s="9">
        <v>-4.0158737628325967E-7</v>
      </c>
      <c r="H25" s="8">
        <v>0.62824622774439398</v>
      </c>
      <c r="I25" s="7">
        <v>41.03656905211075</v>
      </c>
      <c r="J25" s="5">
        <v>41.060865962850897</v>
      </c>
      <c r="K25" s="4">
        <f>ABS((J25-I25)/J25 )*100</f>
        <v>5.9172913601310904E-2</v>
      </c>
    </row>
    <row r="26" spans="1:12" x14ac:dyDescent="0.2">
      <c r="A26">
        <v>51.079034983277097</v>
      </c>
      <c r="B26">
        <v>-114.14735723243101</v>
      </c>
      <c r="C26" s="9">
        <v>0.89149733919955199</v>
      </c>
      <c r="D26" s="8">
        <v>-1.9922472161560831</v>
      </c>
      <c r="E26" s="9">
        <v>-7.5253062892244316E-8</v>
      </c>
      <c r="F26" s="8">
        <v>-3.261132924370358E-6</v>
      </c>
      <c r="G26" s="9">
        <v>-2.0487993337891478E-6</v>
      </c>
      <c r="H26" s="8">
        <v>0.62824772289363795</v>
      </c>
      <c r="I26" s="7">
        <v>42.853356213197408</v>
      </c>
      <c r="J26" s="5">
        <v>42.977079280238399</v>
      </c>
      <c r="K26" s="4">
        <f>ABS((J26-I26)/J26 )*100</f>
        <v>0.28788151524731803</v>
      </c>
    </row>
    <row r="27" spans="1:12" x14ac:dyDescent="0.2">
      <c r="A27">
        <v>51.078987481008099</v>
      </c>
      <c r="B27">
        <v>-114.147376975187</v>
      </c>
      <c r="C27" s="9">
        <v>0.8914965101285558</v>
      </c>
      <c r="D27" s="8">
        <v>-1.992247560732179</v>
      </c>
      <c r="E27" s="9">
        <v>-8.2907099618889646E-7</v>
      </c>
      <c r="F27" s="8">
        <v>-3.4457609587867921E-7</v>
      </c>
      <c r="G27" s="9">
        <v>-2.1647916777356243E-7</v>
      </c>
      <c r="H27" s="8">
        <v>0.62824778144152504</v>
      </c>
      <c r="I27" s="7">
        <v>17.910443421748848</v>
      </c>
      <c r="J27" s="5">
        <v>17.924863336774099</v>
      </c>
      <c r="K27" s="4">
        <f>ABS((J27-I27)/J27 )*100</f>
        <v>8.0446443324714026E-2</v>
      </c>
    </row>
    <row r="28" spans="1:12" x14ac:dyDescent="0.2">
      <c r="A28">
        <v>51.078985367111201</v>
      </c>
      <c r="B28">
        <v>-114.147557539207</v>
      </c>
      <c r="C28" s="9">
        <v>0.89149647323409498</v>
      </c>
      <c r="D28" s="8">
        <v>-1.9922507121688384</v>
      </c>
      <c r="E28" s="9">
        <v>-3.6894460819780761E-8</v>
      </c>
      <c r="F28" s="8">
        <v>-3.1514366594098675E-6</v>
      </c>
      <c r="G28" s="9">
        <v>-1.9798851223928203E-6</v>
      </c>
      <c r="H28" s="8">
        <v>0.62824842646958678</v>
      </c>
      <c r="I28" s="7">
        <v>41.391202206021759</v>
      </c>
      <c r="J28" s="5">
        <v>41.506999533500398</v>
      </c>
      <c r="K28" s="4">
        <f>ABS((J28-I28)/J28 )*100</f>
        <v>0.27898265058927779</v>
      </c>
    </row>
    <row r="29" spans="1:12" x14ac:dyDescent="0.2">
      <c r="A29">
        <v>51.078938749501198</v>
      </c>
      <c r="B29">
        <v>-114.147575517723</v>
      </c>
      <c r="C29" s="9">
        <v>0.89149565960331101</v>
      </c>
      <c r="D29" s="8">
        <v>-1.9922510259531372</v>
      </c>
      <c r="E29" s="9">
        <v>-8.1363078396901045E-7</v>
      </c>
      <c r="F29" s="8">
        <v>-3.1378429876660618E-7</v>
      </c>
      <c r="G29" s="9">
        <v>-1.9713450095796124E-7</v>
      </c>
      <c r="H29" s="8">
        <v>0.62824845517394912</v>
      </c>
      <c r="I29" s="7">
        <v>17.498764429611715</v>
      </c>
      <c r="J29" s="5">
        <v>17.5119978441599</v>
      </c>
      <c r="K29" s="4">
        <f>ABS((J29-I29)/J29 )*100</f>
        <v>7.5567703159573174E-2</v>
      </c>
    </row>
    <row r="30" spans="1:12" x14ac:dyDescent="0.2">
      <c r="A30">
        <v>51.078925013759999</v>
      </c>
      <c r="B30">
        <v>-114.147794944897</v>
      </c>
      <c r="C30" s="9">
        <v>0.89149541986940195</v>
      </c>
      <c r="D30" s="8">
        <v>-1.9922548556797917</v>
      </c>
      <c r="E30" s="9">
        <v>-2.397339090576267E-7</v>
      </c>
      <c r="F30" s="8">
        <v>-3.8297266544695674E-6</v>
      </c>
      <c r="G30" s="9">
        <v>-2.4060222786831766E-6</v>
      </c>
      <c r="H30" s="8">
        <v>0.62824908818888547</v>
      </c>
      <c r="I30" s="7">
        <v>50.540263008991744</v>
      </c>
      <c r="J30" s="5">
        <v>50.692326825430897</v>
      </c>
      <c r="K30" s="4">
        <f>ABS((J30-I30)/J30 )*100</f>
        <v>0.2999740314995103</v>
      </c>
    </row>
    <row r="32" spans="1:12" ht="19" x14ac:dyDescent="0.25">
      <c r="J32" s="3" t="s">
        <v>3</v>
      </c>
      <c r="K32" s="2">
        <f>AVERAGE(K8:K24)</f>
        <v>0.22878795654484202</v>
      </c>
      <c r="L32" t="s">
        <v>68</v>
      </c>
    </row>
    <row r="33" spans="10:12" ht="19" x14ac:dyDescent="0.25">
      <c r="J33" s="3" t="s">
        <v>2</v>
      </c>
      <c r="K33" s="2">
        <f>MEDIAN(K8:K24)</f>
        <v>0.21937263770012141</v>
      </c>
      <c r="L33" t="s">
        <v>68</v>
      </c>
    </row>
    <row r="34" spans="10:12" ht="19" x14ac:dyDescent="0.25">
      <c r="J34" s="3" t="s">
        <v>1</v>
      </c>
      <c r="K34" s="2">
        <f>_xlfn.STDEV.S(K8:K24)</f>
        <v>5.414032856119786E-2</v>
      </c>
      <c r="L34" t="s">
        <v>68</v>
      </c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0FA15-0BA9-4F41-BEBE-68F6C920B72B}">
  <sheetPr>
    <tabColor theme="5" tint="0.39997558519241921"/>
  </sheetPr>
  <dimension ref="A1:I36"/>
  <sheetViews>
    <sheetView zoomScale="110" zoomScaleNormal="110" workbookViewId="0">
      <selection activeCell="A2" sqref="A2"/>
    </sheetView>
  </sheetViews>
  <sheetFormatPr baseColWidth="10" defaultRowHeight="16" x14ac:dyDescent="0.2"/>
  <cols>
    <col min="5" max="5" width="12.83203125" bestFit="1" customWidth="1"/>
    <col min="6" max="6" width="10.83203125" style="1"/>
  </cols>
  <sheetData>
    <row r="1" spans="1:8" ht="21" x14ac:dyDescent="0.25">
      <c r="A1" s="28" t="s">
        <v>43</v>
      </c>
      <c r="E1" t="s">
        <v>17</v>
      </c>
    </row>
    <row r="2" spans="1:8" x14ac:dyDescent="0.2">
      <c r="E2" t="s">
        <v>16</v>
      </c>
    </row>
    <row r="3" spans="1:8" ht="19" x14ac:dyDescent="0.25">
      <c r="D3" s="3" t="s">
        <v>31</v>
      </c>
      <c r="E3">
        <f>3958.756*5280</f>
        <v>20902231.68</v>
      </c>
      <c r="F3" s="1" t="s">
        <v>0</v>
      </c>
      <c r="G3" s="30" t="s">
        <v>35</v>
      </c>
      <c r="H3" s="1" t="s">
        <v>25</v>
      </c>
    </row>
    <row r="5" spans="1:8" x14ac:dyDescent="0.2">
      <c r="F5" t="s">
        <v>20</v>
      </c>
    </row>
    <row r="6" spans="1:8" s="18" customFormat="1" ht="20" thickBot="1" x14ac:dyDescent="0.3">
      <c r="A6" s="27" t="s">
        <v>18</v>
      </c>
      <c r="B6" s="26" t="s">
        <v>19</v>
      </c>
      <c r="C6" s="24" t="s">
        <v>13</v>
      </c>
      <c r="D6" s="23" t="s">
        <v>12</v>
      </c>
      <c r="E6" s="23" t="s">
        <v>23</v>
      </c>
      <c r="F6" s="21" t="s">
        <v>36</v>
      </c>
      <c r="G6" s="20" t="s">
        <v>5</v>
      </c>
      <c r="H6" s="19" t="s">
        <v>67</v>
      </c>
    </row>
    <row r="7" spans="1:8" x14ac:dyDescent="0.2">
      <c r="A7">
        <v>51.079513501242801</v>
      </c>
      <c r="B7">
        <v>-114.14806797213799</v>
      </c>
      <c r="C7" s="16" cm="1">
        <f t="array" ref="C7:C30">lat*PI()/180</f>
        <v>0.89150569091358356</v>
      </c>
      <c r="D7" s="15" cm="1">
        <f t="array" ref="D7:D30">long*PI()/180</f>
        <v>-1.9922596209040948</v>
      </c>
      <c r="E7" s="15"/>
      <c r="F7" s="13"/>
      <c r="G7" s="12"/>
      <c r="H7" s="11"/>
    </row>
    <row r="8" spans="1:8" x14ac:dyDescent="0.2">
      <c r="A8">
        <v>51.079591377641997</v>
      </c>
      <c r="B8">
        <v>-114.14792139133</v>
      </c>
      <c r="C8" s="9">
        <v>0.89150705011315901</v>
      </c>
      <c r="D8" s="8">
        <v>-1.9922570625863754</v>
      </c>
      <c r="E8" s="8" cm="1">
        <f t="array" ref="E8:E30">longr-longrm1</f>
        <v>2.5583177194477003E-6</v>
      </c>
      <c r="F8" s="6" cm="1">
        <f t="array" ref="F8:F30">ACOS(COS(latr)*COS(latrm1) + SIN(latr)*SIN(latrm1)*COS(dLong))*Rconst</f>
        <v>50.378848946649711</v>
      </c>
      <c r="G8" s="5">
        <v>44.091533135615101</v>
      </c>
      <c r="H8" s="33">
        <f>ABS((G8-F8)/G8 )*100</f>
        <v>14.259689704361872</v>
      </c>
    </row>
    <row r="9" spans="1:8" x14ac:dyDescent="0.2">
      <c r="A9">
        <v>51.079564942722101</v>
      </c>
      <c r="B9">
        <v>-114.14785860528499</v>
      </c>
      <c r="C9" s="9">
        <v>0.89150658873676936</v>
      </c>
      <c r="D9" s="8">
        <v>-1.9922559667631654</v>
      </c>
      <c r="E9" s="8">
        <v>1.0958232099511633E-6</v>
      </c>
      <c r="F9" s="6">
        <v>20.26454719912358</v>
      </c>
      <c r="G9" s="5">
        <v>17.366692721525599</v>
      </c>
      <c r="H9" s="33">
        <f t="shared" ref="H9:H30" si="0">ABS((G9-F9)/G9 )*100</f>
        <v>16.686277140184327</v>
      </c>
    </row>
    <row r="10" spans="1:8" x14ac:dyDescent="0.2">
      <c r="A10">
        <v>51.0796402935649</v>
      </c>
      <c r="B10">
        <v>-114.147724816962</v>
      </c>
      <c r="C10" s="9">
        <v>0.89150790385707035</v>
      </c>
      <c r="D10" s="8">
        <v>-1.9922536317164283</v>
      </c>
      <c r="E10" s="8">
        <v>2.3350467370786276E-6</v>
      </c>
      <c r="F10" s="6">
        <v>46.878707844043355</v>
      </c>
      <c r="G10" s="5">
        <v>41.263717786527103</v>
      </c>
      <c r="H10" s="33">
        <f t="shared" si="0"/>
        <v>13.607571878435021</v>
      </c>
    </row>
    <row r="11" spans="1:8" x14ac:dyDescent="0.2">
      <c r="A11">
        <v>51.0796143108211</v>
      </c>
      <c r="B11">
        <v>-114.147659624076</v>
      </c>
      <c r="C11" s="9">
        <v>0.89150745037264234</v>
      </c>
      <c r="D11" s="8">
        <v>-1.9922524938859187</v>
      </c>
      <c r="E11" s="8">
        <v>1.1378305095899321E-6</v>
      </c>
      <c r="F11" s="6">
        <v>20.791477897432216</v>
      </c>
      <c r="G11" s="5">
        <v>17.737750642382501</v>
      </c>
      <c r="H11" s="33">
        <f t="shared" si="0"/>
        <v>17.215978038123687</v>
      </c>
    </row>
    <row r="12" spans="1:8" x14ac:dyDescent="0.2">
      <c r="A12">
        <v>51.079690647936502</v>
      </c>
      <c r="B12">
        <v>-114.14752611732401</v>
      </c>
      <c r="C12" s="9">
        <v>0.89150878270664768</v>
      </c>
      <c r="D12" s="8">
        <v>-1.9922501637535228</v>
      </c>
      <c r="E12" s="8">
        <v>2.3301323959223907E-6</v>
      </c>
      <c r="F12" s="6">
        <v>47.025407553431663</v>
      </c>
      <c r="G12" s="5">
        <v>41.454307014123202</v>
      </c>
      <c r="H12" s="33">
        <f t="shared" si="0"/>
        <v>13.439135618430251</v>
      </c>
    </row>
    <row r="13" spans="1:8" x14ac:dyDescent="0.2">
      <c r="A13">
        <v>51.079682110890097</v>
      </c>
      <c r="B13">
        <v>-114.147386419936</v>
      </c>
      <c r="C13" s="9">
        <v>0.89150863370707945</v>
      </c>
      <c r="D13" s="8">
        <v>-1.9922477255741458</v>
      </c>
      <c r="E13" s="8">
        <v>2.4381793770622551E-6</v>
      </c>
      <c r="F13" s="6">
        <v>39.772829538378566</v>
      </c>
      <c r="G13" s="5">
        <v>32.269688582331902</v>
      </c>
      <c r="H13" s="33">
        <f t="shared" si="0"/>
        <v>23.251358428524586</v>
      </c>
    </row>
    <row r="14" spans="1:8" x14ac:dyDescent="0.2">
      <c r="A14">
        <v>51.079637295075401</v>
      </c>
      <c r="B14">
        <v>-114.14744338343399</v>
      </c>
      <c r="C14" s="9">
        <v>0.89150785152355605</v>
      </c>
      <c r="D14" s="8">
        <v>-1.9922487197747394</v>
      </c>
      <c r="E14" s="8">
        <v>-9.9420059362920199E-7</v>
      </c>
      <c r="F14" s="6">
        <v>22.99381436986452</v>
      </c>
      <c r="G14" s="5">
        <v>20.958016289432901</v>
      </c>
      <c r="H14" s="33">
        <f t="shared" si="0"/>
        <v>9.7136964315562366</v>
      </c>
    </row>
    <row r="15" spans="1:8" x14ac:dyDescent="0.2">
      <c r="A15">
        <v>51.0795631456904</v>
      </c>
      <c r="B15">
        <v>-114.147299810349</v>
      </c>
      <c r="C15" s="9">
        <v>0.89150655737264939</v>
      </c>
      <c r="D15" s="8">
        <v>-1.9922462139516888</v>
      </c>
      <c r="E15" s="8">
        <v>2.5058230506136425E-6</v>
      </c>
      <c r="F15" s="6">
        <v>48.91230297082393</v>
      </c>
      <c r="G15" s="5">
        <v>42.690700105707698</v>
      </c>
      <c r="H15" s="33">
        <f t="shared" si="0"/>
        <v>14.573672602488921</v>
      </c>
    </row>
    <row r="16" spans="1:8" x14ac:dyDescent="0.2">
      <c r="A16">
        <v>51.079516433621897</v>
      </c>
      <c r="B16">
        <v>-114.147356370587</v>
      </c>
      <c r="C16" s="9">
        <v>0.89150574209325362</v>
      </c>
      <c r="D16" s="8">
        <v>-1.9922472011140677</v>
      </c>
      <c r="E16" s="8">
        <v>-9.8716237895146719E-7</v>
      </c>
      <c r="F16" s="6">
        <v>23.413989728259608</v>
      </c>
      <c r="G16" s="5">
        <v>21.450574313580098</v>
      </c>
      <c r="H16" s="33">
        <f t="shared" si="0"/>
        <v>9.1532067439168525</v>
      </c>
    </row>
    <row r="17" spans="1:9" x14ac:dyDescent="0.2">
      <c r="A17">
        <v>51.079453611305503</v>
      </c>
      <c r="B17">
        <v>-114.147218340832</v>
      </c>
      <c r="C17" s="9">
        <v>0.89150464563698884</v>
      </c>
      <c r="D17" s="8">
        <v>-1.9922447920403772</v>
      </c>
      <c r="E17" s="8">
        <v>2.4090736905346688E-6</v>
      </c>
      <c r="F17" s="6">
        <v>45.388844655477271</v>
      </c>
      <c r="G17" s="5">
        <v>39.164556503305398</v>
      </c>
      <c r="H17" s="33">
        <f t="shared" si="0"/>
        <v>15.892655778309548</v>
      </c>
    </row>
    <row r="18" spans="1:9" x14ac:dyDescent="0.2">
      <c r="A18">
        <v>51.079401254959301</v>
      </c>
      <c r="B18">
        <v>-114.147293053165</v>
      </c>
      <c r="C18" s="9">
        <v>0.89150373184636333</v>
      </c>
      <c r="D18" s="8">
        <v>-1.9922460960165802</v>
      </c>
      <c r="E18" s="8">
        <v>-1.3039762030153668E-6</v>
      </c>
      <c r="F18" s="6">
        <v>28.539672479054467</v>
      </c>
      <c r="G18" s="5">
        <v>25.7096717035481</v>
      </c>
      <c r="H18" s="33">
        <f t="shared" si="0"/>
        <v>11.007533694472684</v>
      </c>
    </row>
    <row r="19" spans="1:9" x14ac:dyDescent="0.2">
      <c r="A19">
        <v>51.079392153396697</v>
      </c>
      <c r="B19">
        <v>-114.147174218</v>
      </c>
      <c r="C19" s="9">
        <v>0.89150357299412886</v>
      </c>
      <c r="D19" s="8">
        <v>-1.9922440219516835</v>
      </c>
      <c r="E19" s="8">
        <v>2.0740648967176867E-6</v>
      </c>
      <c r="F19" s="6">
        <v>33.891330688028717</v>
      </c>
      <c r="G19" s="5">
        <v>27.537820156630499</v>
      </c>
      <c r="H19" s="33">
        <f t="shared" si="0"/>
        <v>23.071944312442003</v>
      </c>
    </row>
    <row r="20" spans="1:9" x14ac:dyDescent="0.2">
      <c r="A20">
        <v>51.079340628692499</v>
      </c>
      <c r="B20">
        <v>-114.147249246947</v>
      </c>
      <c r="C20" s="9">
        <v>0.89150267371839442</v>
      </c>
      <c r="D20" s="8">
        <v>-1.9922453314538429</v>
      </c>
      <c r="E20" s="8">
        <v>-1.3095021593745315E-6</v>
      </c>
      <c r="F20" s="6">
        <v>28.403379089240399</v>
      </c>
      <c r="G20" s="5">
        <v>25.513663894043599</v>
      </c>
      <c r="H20" s="33">
        <f t="shared" si="0"/>
        <v>11.326147460425826</v>
      </c>
    </row>
    <row r="21" spans="1:9" x14ac:dyDescent="0.2">
      <c r="A21">
        <v>51.079268902784698</v>
      </c>
      <c r="B21">
        <v>-114.14708494520799</v>
      </c>
      <c r="C21" s="9">
        <v>0.89150142186514436</v>
      </c>
      <c r="D21" s="8">
        <v>-1.9922424638475305</v>
      </c>
      <c r="E21" s="8">
        <v>2.8676063124066786E-6</v>
      </c>
      <c r="F21" s="6">
        <v>53.472724125618022</v>
      </c>
      <c r="G21" s="5">
        <v>45.960725963636101</v>
      </c>
      <c r="H21" s="33">
        <f t="shared" si="0"/>
        <v>16.344385351800963</v>
      </c>
    </row>
    <row r="22" spans="1:9" x14ac:dyDescent="0.2">
      <c r="A22">
        <v>51.079211479993099</v>
      </c>
      <c r="B22">
        <v>-114.14717934392699</v>
      </c>
      <c r="C22" s="9">
        <v>0.89150041964836524</v>
      </c>
      <c r="D22" s="8">
        <v>-1.9922441114159868</v>
      </c>
      <c r="E22" s="8">
        <v>-1.6475684563310722E-6</v>
      </c>
      <c r="F22" s="6">
        <v>34.011340836086497</v>
      </c>
      <c r="G22" s="5">
        <v>30.171092211308299</v>
      </c>
      <c r="H22" s="33">
        <f t="shared" si="0"/>
        <v>12.728238665946773</v>
      </c>
    </row>
    <row r="23" spans="1:9" x14ac:dyDescent="0.2">
      <c r="A23">
        <v>51.079208868563398</v>
      </c>
      <c r="B23">
        <v>-114.147039100562</v>
      </c>
      <c r="C23" s="9">
        <v>0.89150037407031879</v>
      </c>
      <c r="D23" s="8">
        <v>-1.9922416637075135</v>
      </c>
      <c r="E23" s="8">
        <v>2.4477084732410503E-6</v>
      </c>
      <c r="F23" s="6">
        <v>39.815491834044757</v>
      </c>
      <c r="G23" s="5">
        <v>32.248154083559498</v>
      </c>
      <c r="H23" s="33">
        <f t="shared" si="0"/>
        <v>23.465956317615024</v>
      </c>
    </row>
    <row r="24" spans="1:9" x14ac:dyDescent="0.2">
      <c r="A24">
        <v>51.0791494031903</v>
      </c>
      <c r="B24">
        <v>-114.147133758686</v>
      </c>
      <c r="C24" s="9">
        <v>0.8914993362037672</v>
      </c>
      <c r="D24" s="8">
        <v>-1.9922433158034412</v>
      </c>
      <c r="E24" s="8">
        <v>-1.652095927617836E-6</v>
      </c>
      <c r="F24" s="6">
        <v>34.532183946884352</v>
      </c>
      <c r="G24" s="5">
        <v>30.744390478364799</v>
      </c>
      <c r="H24" s="33">
        <f t="shared" si="0"/>
        <v>12.320275047199484</v>
      </c>
    </row>
    <row r="25" spans="1:9" x14ac:dyDescent="0.2">
      <c r="A25">
        <v>51.079039294959998</v>
      </c>
      <c r="B25">
        <v>-114.147170383278</v>
      </c>
      <c r="C25" s="9">
        <v>0.89149741445261488</v>
      </c>
      <c r="D25" s="8">
        <v>-1.9922439550231588</v>
      </c>
      <c r="E25" s="8">
        <v>-6.3921971760194651E-7</v>
      </c>
      <c r="F25" s="6">
        <v>41.491869996440883</v>
      </c>
      <c r="G25" s="5">
        <v>41.060865962850897</v>
      </c>
      <c r="H25" s="33">
        <f t="shared" si="0"/>
        <v>1.0496710760555539</v>
      </c>
    </row>
    <row r="26" spans="1:9" x14ac:dyDescent="0.2">
      <c r="A26">
        <v>51.079034983277097</v>
      </c>
      <c r="B26">
        <v>-114.14735723243101</v>
      </c>
      <c r="C26" s="9">
        <v>0.89149733919955199</v>
      </c>
      <c r="D26" s="8">
        <v>-1.9922472161560831</v>
      </c>
      <c r="E26" s="8">
        <v>-3.261132924370358E-6</v>
      </c>
      <c r="F26" s="6">
        <v>53.057466440448358</v>
      </c>
      <c r="G26" s="5">
        <v>42.977079280238399</v>
      </c>
      <c r="H26" s="33">
        <f t="shared" si="0"/>
        <v>23.4552634311869</v>
      </c>
    </row>
    <row r="27" spans="1:9" x14ac:dyDescent="0.2">
      <c r="A27">
        <v>51.078987481008099</v>
      </c>
      <c r="B27">
        <v>-114.147376975187</v>
      </c>
      <c r="C27" s="9">
        <v>0.8914965101285558</v>
      </c>
      <c r="D27" s="8">
        <v>-1.992247560732179</v>
      </c>
      <c r="E27" s="8">
        <v>-3.4457609587867921E-7</v>
      </c>
      <c r="F27" s="6">
        <v>18.214859380834255</v>
      </c>
      <c r="G27" s="5">
        <v>17.924863336774099</v>
      </c>
      <c r="H27" s="33">
        <f t="shared" si="0"/>
        <v>1.6178424270895824</v>
      </c>
    </row>
    <row r="28" spans="1:9" x14ac:dyDescent="0.2">
      <c r="A28">
        <v>51.078985367111201</v>
      </c>
      <c r="B28">
        <v>-114.147557539207</v>
      </c>
      <c r="C28" s="9">
        <v>0.89149647323409498</v>
      </c>
      <c r="D28" s="8">
        <v>-1.9922507121688384</v>
      </c>
      <c r="E28" s="8">
        <v>-3.1514366594098675E-6</v>
      </c>
      <c r="F28" s="6">
        <v>51.256994429705543</v>
      </c>
      <c r="G28" s="5">
        <v>41.506999533500398</v>
      </c>
      <c r="H28" s="33">
        <f t="shared" si="0"/>
        <v>23.490001700402125</v>
      </c>
    </row>
    <row r="29" spans="1:9" x14ac:dyDescent="0.2">
      <c r="A29">
        <v>51.078938749501198</v>
      </c>
      <c r="B29">
        <v>-114.147575517723</v>
      </c>
      <c r="C29" s="9">
        <v>0.89149565960331101</v>
      </c>
      <c r="D29" s="8">
        <v>-1.9922510259531372</v>
      </c>
      <c r="E29" s="8">
        <v>-3.1378429876660618E-7</v>
      </c>
      <c r="F29" s="6">
        <v>17.756380805029487</v>
      </c>
      <c r="G29" s="5">
        <v>17.5119978441599</v>
      </c>
      <c r="H29" s="33">
        <f t="shared" si="0"/>
        <v>1.3955173078729339</v>
      </c>
    </row>
    <row r="30" spans="1:9" x14ac:dyDescent="0.2">
      <c r="A30">
        <v>51.078925013759999</v>
      </c>
      <c r="B30">
        <v>-114.147794944897</v>
      </c>
      <c r="C30" s="9">
        <v>0.89149541986940195</v>
      </c>
      <c r="D30" s="8">
        <v>-1.9922548556797917</v>
      </c>
      <c r="E30" s="8">
        <v>-3.8297266544695674E-6</v>
      </c>
      <c r="F30" s="6">
        <v>62.480882084611267</v>
      </c>
      <c r="G30" s="5">
        <v>50.692326825430897</v>
      </c>
      <c r="H30" s="33">
        <f t="shared" si="0"/>
        <v>23.255107818934022</v>
      </c>
    </row>
    <row r="31" spans="1:9" x14ac:dyDescent="0.2">
      <c r="F31"/>
      <c r="H31" s="34"/>
    </row>
    <row r="32" spans="1:9" ht="19" x14ac:dyDescent="0.25">
      <c r="F32"/>
      <c r="G32" s="3" t="s">
        <v>3</v>
      </c>
      <c r="H32" s="34">
        <f>AVERAGE(H8:H24)</f>
        <v>15.179866071425533</v>
      </c>
      <c r="I32" t="s">
        <v>68</v>
      </c>
    </row>
    <row r="33" spans="6:9" ht="19" x14ac:dyDescent="0.25">
      <c r="F33"/>
      <c r="G33" s="3" t="s">
        <v>2</v>
      </c>
      <c r="H33" s="34">
        <f>MEDIAN(H8:H24)</f>
        <v>14.259689704361872</v>
      </c>
      <c r="I33" t="s">
        <v>68</v>
      </c>
    </row>
    <row r="34" spans="6:9" ht="19" x14ac:dyDescent="0.25">
      <c r="F34"/>
      <c r="G34" s="3" t="s">
        <v>1</v>
      </c>
      <c r="H34" s="34">
        <f>_xlfn.STDEV.S(H8:H24)</f>
        <v>4.4981642235858779</v>
      </c>
      <c r="I34" t="s">
        <v>68</v>
      </c>
    </row>
    <row r="36" spans="6:9" x14ac:dyDescent="0.2">
      <c r="G36" s="1"/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F2D12-2E3B-D34D-AB23-C6CFC0C571A6}">
  <sheetPr>
    <tabColor theme="5" tint="0.39997558519241921"/>
  </sheetPr>
  <dimension ref="A1:I36"/>
  <sheetViews>
    <sheetView zoomScale="110" zoomScaleNormal="110" workbookViewId="0">
      <selection activeCell="A2" sqref="A2"/>
    </sheetView>
  </sheetViews>
  <sheetFormatPr baseColWidth="10" defaultRowHeight="16" x14ac:dyDescent="0.2"/>
  <cols>
    <col min="5" max="5" width="12.83203125" bestFit="1" customWidth="1"/>
    <col min="6" max="6" width="10.83203125" style="1"/>
    <col min="12" max="12" width="12.5" bestFit="1" customWidth="1"/>
  </cols>
  <sheetData>
    <row r="1" spans="1:8" ht="21" x14ac:dyDescent="0.25">
      <c r="A1" s="28" t="s">
        <v>44</v>
      </c>
      <c r="E1" t="s">
        <v>17</v>
      </c>
    </row>
    <row r="2" spans="1:8" x14ac:dyDescent="0.2">
      <c r="E2" t="s">
        <v>16</v>
      </c>
    </row>
    <row r="3" spans="1:8" ht="19" x14ac:dyDescent="0.25">
      <c r="D3" s="3" t="s">
        <v>31</v>
      </c>
      <c r="E3">
        <f>3958.756*5280</f>
        <v>20902231.68</v>
      </c>
      <c r="F3" s="1" t="s">
        <v>0</v>
      </c>
      <c r="G3" s="30" t="s">
        <v>34</v>
      </c>
      <c r="H3" t="s">
        <v>15</v>
      </c>
    </row>
    <row r="5" spans="1:8" x14ac:dyDescent="0.2">
      <c r="F5" t="s">
        <v>21</v>
      </c>
    </row>
    <row r="6" spans="1:8" s="18" customFormat="1" ht="20" thickBot="1" x14ac:dyDescent="0.3">
      <c r="A6" s="27" t="s">
        <v>18</v>
      </c>
      <c r="B6" s="26" t="s">
        <v>19</v>
      </c>
      <c r="C6" s="24" t="s">
        <v>13</v>
      </c>
      <c r="D6" s="23" t="s">
        <v>12</v>
      </c>
      <c r="E6" s="23" t="s">
        <v>23</v>
      </c>
      <c r="F6" s="21" t="s">
        <v>8</v>
      </c>
      <c r="G6" s="20" t="s">
        <v>5</v>
      </c>
      <c r="H6" s="19" t="s">
        <v>67</v>
      </c>
    </row>
    <row r="7" spans="1:8" x14ac:dyDescent="0.2">
      <c r="A7">
        <v>51.079513501242801</v>
      </c>
      <c r="B7">
        <v>-114.14806797213799</v>
      </c>
      <c r="C7" s="16" cm="1">
        <f t="array" ref="C7:C30">lat*PI()/180</f>
        <v>0.89150569091358356</v>
      </c>
      <c r="D7" s="15" cm="1">
        <f t="array" ref="D7:D30">long*PI()/180</f>
        <v>-1.9922596209040948</v>
      </c>
      <c r="E7" s="15"/>
      <c r="F7" s="13" t="s">
        <v>69</v>
      </c>
      <c r="G7" s="12" t="s">
        <v>69</v>
      </c>
      <c r="H7" s="11"/>
    </row>
    <row r="8" spans="1:8" x14ac:dyDescent="0.2">
      <c r="A8">
        <v>51.079591377641997</v>
      </c>
      <c r="B8">
        <v>-114.14792139133</v>
      </c>
      <c r="C8" s="9">
        <v>0.89150705011315901</v>
      </c>
      <c r="D8" s="8">
        <v>-1.9922570625863754</v>
      </c>
      <c r="E8" s="8" cm="1">
        <f t="array" ref="E8:E30">longr-longrm1</f>
        <v>2.5583177194477003E-6</v>
      </c>
      <c r="F8" s="6" cm="1">
        <f t="array" ref="F8:F30">ACOS(SIN(latrm1)*SIN(latr) + COS(latrm1)*COS(latr)*COS(dLong))*Rconst</f>
        <v>43.997475064009919</v>
      </c>
      <c r="G8" s="5">
        <v>44.091533135615101</v>
      </c>
      <c r="H8" s="4">
        <f>(G8-F8)/G8*100</f>
        <v>0.21332456577520748</v>
      </c>
    </row>
    <row r="9" spans="1:8" x14ac:dyDescent="0.2">
      <c r="A9">
        <v>51.079564942722101</v>
      </c>
      <c r="B9">
        <v>-114.14785860528499</v>
      </c>
      <c r="C9" s="9">
        <v>0.89150658873676936</v>
      </c>
      <c r="D9" s="8">
        <v>-1.9922559667631654</v>
      </c>
      <c r="E9" s="8">
        <v>1.0958232099511633E-6</v>
      </c>
      <c r="F9" s="6">
        <v>17.324987283497677</v>
      </c>
      <c r="G9" s="5">
        <v>17.366692721525599</v>
      </c>
      <c r="H9" s="4">
        <f t="shared" ref="H9:H30" si="0">(G9-F9)/G9*100</f>
        <v>0.24014611588209267</v>
      </c>
    </row>
    <row r="10" spans="1:8" x14ac:dyDescent="0.2">
      <c r="A10">
        <v>51.0796402935649</v>
      </c>
      <c r="B10">
        <v>-114.147724816962</v>
      </c>
      <c r="C10" s="9">
        <v>0.89150790385707035</v>
      </c>
      <c r="D10" s="8">
        <v>-1.9922536317164283</v>
      </c>
      <c r="E10" s="8">
        <v>2.3350467370786276E-6</v>
      </c>
      <c r="F10" s="6">
        <v>41.180906872218237</v>
      </c>
      <c r="G10" s="5">
        <v>41.263717786527103</v>
      </c>
      <c r="H10" s="4">
        <f t="shared" si="0"/>
        <v>0.20068699271664678</v>
      </c>
    </row>
    <row r="11" spans="1:8" x14ac:dyDescent="0.2">
      <c r="A11">
        <v>51.0796143108211</v>
      </c>
      <c r="B11">
        <v>-114.147659624076</v>
      </c>
      <c r="C11" s="9">
        <v>0.89150745037264234</v>
      </c>
      <c r="D11" s="8">
        <v>-1.9922524938859187</v>
      </c>
      <c r="E11" s="8">
        <v>1.1378305095899321E-6</v>
      </c>
      <c r="F11" s="6">
        <v>17.696180233204242</v>
      </c>
      <c r="G11" s="5">
        <v>17.737750642382501</v>
      </c>
      <c r="H11" s="4">
        <f t="shared" si="0"/>
        <v>0.23436122209842797</v>
      </c>
    </row>
    <row r="12" spans="1:8" x14ac:dyDescent="0.2">
      <c r="A12">
        <v>51.079690647936502</v>
      </c>
      <c r="B12">
        <v>-114.14752611732401</v>
      </c>
      <c r="C12" s="9">
        <v>0.89150878270664768</v>
      </c>
      <c r="D12" s="8">
        <v>-1.9922501637535228</v>
      </c>
      <c r="E12" s="8">
        <v>2.3301323959223907E-6</v>
      </c>
      <c r="F12" s="6">
        <v>41.373627613141906</v>
      </c>
      <c r="G12" s="5">
        <v>41.454307014123202</v>
      </c>
      <c r="H12" s="4">
        <f t="shared" si="0"/>
        <v>0.19462248145605035</v>
      </c>
    </row>
    <row r="13" spans="1:8" x14ac:dyDescent="0.2">
      <c r="A13">
        <v>51.079682110890097</v>
      </c>
      <c r="B13">
        <v>-114.147386419936</v>
      </c>
      <c r="C13" s="9">
        <v>0.89150863370707945</v>
      </c>
      <c r="D13" s="8">
        <v>-1.9922477255741458</v>
      </c>
      <c r="E13" s="8">
        <v>2.4381793770622551E-6</v>
      </c>
      <c r="F13" s="6">
        <v>32.170237962586199</v>
      </c>
      <c r="G13" s="5">
        <v>32.269688582331902</v>
      </c>
      <c r="H13" s="4">
        <f t="shared" si="0"/>
        <v>0.30818586765089939</v>
      </c>
    </row>
    <row r="14" spans="1:8" x14ac:dyDescent="0.2">
      <c r="A14">
        <v>51.079637295075401</v>
      </c>
      <c r="B14">
        <v>-114.14744338343399</v>
      </c>
      <c r="C14" s="9">
        <v>0.89150785152355605</v>
      </c>
      <c r="D14" s="8">
        <v>-1.9922487197747394</v>
      </c>
      <c r="E14" s="8">
        <v>-9.9420059362920199E-7</v>
      </c>
      <c r="F14" s="6">
        <v>20.921716619964116</v>
      </c>
      <c r="G14" s="5">
        <v>20.958016289432901</v>
      </c>
      <c r="H14" s="4">
        <f t="shared" si="0"/>
        <v>0.17320183822496707</v>
      </c>
    </row>
    <row r="15" spans="1:8" x14ac:dyDescent="0.2">
      <c r="A15">
        <v>51.0795631456904</v>
      </c>
      <c r="B15">
        <v>-114.147299810349</v>
      </c>
      <c r="C15" s="9">
        <v>0.89150655737264939</v>
      </c>
      <c r="D15" s="8">
        <v>-1.9922462139516888</v>
      </c>
      <c r="E15" s="8">
        <v>2.5058230506136425E-6</v>
      </c>
      <c r="F15" s="6">
        <v>42.597098362470696</v>
      </c>
      <c r="G15" s="5">
        <v>42.690700105707698</v>
      </c>
      <c r="H15" s="4">
        <f t="shared" si="0"/>
        <v>0.21925558260987096</v>
      </c>
    </row>
    <row r="16" spans="1:8" x14ac:dyDescent="0.2">
      <c r="A16">
        <v>51.079516433621897</v>
      </c>
      <c r="B16">
        <v>-114.147356370587</v>
      </c>
      <c r="C16" s="9">
        <v>0.89150574209325362</v>
      </c>
      <c r="D16" s="8">
        <v>-1.9922472011140677</v>
      </c>
      <c r="E16" s="8">
        <v>-9.8716237895146719E-7</v>
      </c>
      <c r="F16" s="6">
        <v>21.412118019889892</v>
      </c>
      <c r="G16" s="5">
        <v>21.450574313580098</v>
      </c>
      <c r="H16" s="4">
        <f t="shared" si="0"/>
        <v>0.17927862036710229</v>
      </c>
    </row>
    <row r="17" spans="1:9" x14ac:dyDescent="0.2">
      <c r="A17">
        <v>51.079453611305503</v>
      </c>
      <c r="B17">
        <v>-114.147218340832</v>
      </c>
      <c r="C17" s="9">
        <v>0.89150464563698884</v>
      </c>
      <c r="D17" s="8">
        <v>-1.9922447920403772</v>
      </c>
      <c r="E17" s="8">
        <v>2.4090736905346688E-6</v>
      </c>
      <c r="F17" s="6">
        <v>39.064037769208376</v>
      </c>
      <c r="G17" s="5">
        <v>39.164556503305398</v>
      </c>
      <c r="H17" s="4">
        <f t="shared" si="0"/>
        <v>0.2566574042234816</v>
      </c>
    </row>
    <row r="18" spans="1:9" x14ac:dyDescent="0.2">
      <c r="A18">
        <v>51.079401254959301</v>
      </c>
      <c r="B18">
        <v>-114.147293053165</v>
      </c>
      <c r="C18" s="9">
        <v>0.89150373184636333</v>
      </c>
      <c r="D18" s="8">
        <v>-1.9922460960165802</v>
      </c>
      <c r="E18" s="8">
        <v>-1.3039762030153668E-6</v>
      </c>
      <c r="F18" s="6">
        <v>25.654035387358618</v>
      </c>
      <c r="G18" s="5">
        <v>25.7096717035481</v>
      </c>
      <c r="H18" s="4">
        <f t="shared" si="0"/>
        <v>0.21640228172109771</v>
      </c>
    </row>
    <row r="19" spans="1:9" x14ac:dyDescent="0.2">
      <c r="A19">
        <v>51.079392153396697</v>
      </c>
      <c r="B19">
        <v>-114.147174218</v>
      </c>
      <c r="C19" s="9">
        <v>0.89150357299412886</v>
      </c>
      <c r="D19" s="8">
        <v>-1.9922440219516835</v>
      </c>
      <c r="E19" s="8">
        <v>2.0740648967176867E-6</v>
      </c>
      <c r="F19" s="6">
        <v>27.437442694259676</v>
      </c>
      <c r="G19" s="5">
        <v>27.537820156630499</v>
      </c>
      <c r="H19" s="4">
        <f t="shared" si="0"/>
        <v>0.36450765456340517</v>
      </c>
    </row>
    <row r="20" spans="1:9" x14ac:dyDescent="0.2">
      <c r="A20">
        <v>51.079340628692499</v>
      </c>
      <c r="B20">
        <v>-114.147249246947</v>
      </c>
      <c r="C20" s="9">
        <v>0.89150267371839442</v>
      </c>
      <c r="D20" s="8">
        <v>-1.9922453314538429</v>
      </c>
      <c r="E20" s="8">
        <v>-1.3095021593745315E-6</v>
      </c>
      <c r="F20" s="6">
        <v>25.47568256023656</v>
      </c>
      <c r="G20" s="5">
        <v>25.513663894043599</v>
      </c>
      <c r="H20" s="4">
        <f t="shared" si="0"/>
        <v>0.14886663853836477</v>
      </c>
    </row>
    <row r="21" spans="1:9" x14ac:dyDescent="0.2">
      <c r="A21">
        <v>51.079268902784698</v>
      </c>
      <c r="B21">
        <v>-114.14708494520799</v>
      </c>
      <c r="C21" s="9">
        <v>0.89150142186514436</v>
      </c>
      <c r="D21" s="8">
        <v>-1.9922424638475305</v>
      </c>
      <c r="E21" s="8">
        <v>2.8676063124066786E-6</v>
      </c>
      <c r="F21" s="6">
        <v>45.854536126238024</v>
      </c>
      <c r="G21" s="5">
        <v>45.960725963636101</v>
      </c>
      <c r="H21" s="4">
        <f t="shared" si="0"/>
        <v>0.23104473476353182</v>
      </c>
    </row>
    <row r="22" spans="1:9" x14ac:dyDescent="0.2">
      <c r="A22">
        <v>51.079211479993099</v>
      </c>
      <c r="B22">
        <v>-114.14717934392699</v>
      </c>
      <c r="C22" s="9">
        <v>0.89150041964836524</v>
      </c>
      <c r="D22" s="8">
        <v>-1.9922441114159868</v>
      </c>
      <c r="E22" s="8">
        <v>-1.6475684563310722E-6</v>
      </c>
      <c r="F22" s="6">
        <v>30.115865562812786</v>
      </c>
      <c r="G22" s="5">
        <v>30.171092211308299</v>
      </c>
      <c r="H22" s="4">
        <f t="shared" si="0"/>
        <v>0.18304490970603096</v>
      </c>
    </row>
    <row r="23" spans="1:9" x14ac:dyDescent="0.2">
      <c r="A23">
        <v>51.079208868563398</v>
      </c>
      <c r="B23">
        <v>-114.147039100562</v>
      </c>
      <c r="C23" s="9">
        <v>0.89150037407031879</v>
      </c>
      <c r="D23" s="8">
        <v>-1.9922416637075135</v>
      </c>
      <c r="E23" s="8">
        <v>2.4477084732410503E-6</v>
      </c>
      <c r="F23" s="6">
        <v>32.155156511067624</v>
      </c>
      <c r="G23" s="5">
        <v>32.248154083559498</v>
      </c>
      <c r="H23" s="4">
        <f t="shared" si="0"/>
        <v>0.28838107214107517</v>
      </c>
    </row>
    <row r="24" spans="1:9" x14ac:dyDescent="0.2">
      <c r="A24">
        <v>51.0791494031903</v>
      </c>
      <c r="B24">
        <v>-114.147133758686</v>
      </c>
      <c r="C24" s="9">
        <v>0.8914993362037672</v>
      </c>
      <c r="D24" s="8">
        <v>-1.9922433158034412</v>
      </c>
      <c r="E24" s="8">
        <v>-1.652095927617836E-6</v>
      </c>
      <c r="F24" s="6">
        <v>30.680736836198875</v>
      </c>
      <c r="G24" s="5">
        <v>30.744390478364799</v>
      </c>
      <c r="H24" s="4">
        <f t="shared" si="0"/>
        <v>0.20704148358614635</v>
      </c>
    </row>
    <row r="25" spans="1:9" x14ac:dyDescent="0.2">
      <c r="A25">
        <v>51.079039294959998</v>
      </c>
      <c r="B25">
        <v>-114.147170383278</v>
      </c>
      <c r="C25" s="9">
        <v>0.89149741445261488</v>
      </c>
      <c r="D25" s="8">
        <v>-1.9922439550231588</v>
      </c>
      <c r="E25" s="8">
        <v>-6.3921971760194651E-7</v>
      </c>
      <c r="F25" s="6">
        <v>41.035772351920002</v>
      </c>
      <c r="G25" s="5">
        <v>41.060865962850897</v>
      </c>
      <c r="H25" s="4">
        <f t="shared" si="0"/>
        <v>6.1113204367385349E-2</v>
      </c>
    </row>
    <row r="26" spans="1:9" x14ac:dyDescent="0.2">
      <c r="A26">
        <v>51.079034983277097</v>
      </c>
      <c r="B26">
        <v>-114.14735723243101</v>
      </c>
      <c r="C26" s="9">
        <v>0.89149733919955199</v>
      </c>
      <c r="D26" s="8">
        <v>-1.9922472161560831</v>
      </c>
      <c r="E26" s="8">
        <v>-3.261132924370358E-6</v>
      </c>
      <c r="F26" s="6">
        <v>42.853675514643584</v>
      </c>
      <c r="G26" s="5">
        <v>42.977079280238399</v>
      </c>
      <c r="H26" s="4">
        <f t="shared" si="0"/>
        <v>0.28713855771850666</v>
      </c>
    </row>
    <row r="27" spans="1:9" x14ac:dyDescent="0.2">
      <c r="A27">
        <v>51.078987481008099</v>
      </c>
      <c r="B27">
        <v>-114.147376975187</v>
      </c>
      <c r="C27" s="9">
        <v>0.8914965101285558</v>
      </c>
      <c r="D27" s="8">
        <v>-1.992247560732179</v>
      </c>
      <c r="E27" s="8">
        <v>-3.4457609587867921E-7</v>
      </c>
      <c r="F27" s="6">
        <v>17.911413797117543</v>
      </c>
      <c r="G27" s="5">
        <v>17.924863336774099</v>
      </c>
      <c r="H27" s="4">
        <f t="shared" si="0"/>
        <v>7.5032871402499479E-2</v>
      </c>
    </row>
    <row r="28" spans="1:9" x14ac:dyDescent="0.2">
      <c r="A28">
        <v>51.078985367111201</v>
      </c>
      <c r="B28">
        <v>-114.147557539207</v>
      </c>
      <c r="C28" s="9">
        <v>0.89149647323409498</v>
      </c>
      <c r="D28" s="8">
        <v>-1.9922507121688384</v>
      </c>
      <c r="E28" s="8">
        <v>-3.1514366594098675E-6</v>
      </c>
      <c r="F28" s="6">
        <v>41.393553434334422</v>
      </c>
      <c r="G28" s="5">
        <v>41.506999533500398</v>
      </c>
      <c r="H28" s="4">
        <f t="shared" si="0"/>
        <v>0.27331799561761594</v>
      </c>
    </row>
    <row r="29" spans="1:9" x14ac:dyDescent="0.2">
      <c r="A29">
        <v>51.078938749501198</v>
      </c>
      <c r="B29">
        <v>-114.147575517723</v>
      </c>
      <c r="C29" s="9">
        <v>0.89149565960331101</v>
      </c>
      <c r="D29" s="8">
        <v>-1.9922510259531372</v>
      </c>
      <c r="E29" s="8">
        <v>-3.1378429876660618E-7</v>
      </c>
      <c r="F29" s="6">
        <v>17.500484038283563</v>
      </c>
      <c r="G29" s="5">
        <v>17.5119978441599</v>
      </c>
      <c r="H29" s="4">
        <f t="shared" si="0"/>
        <v>6.5748100124263409E-2</v>
      </c>
    </row>
    <row r="30" spans="1:9" x14ac:dyDescent="0.2">
      <c r="A30">
        <v>51.078925013759999</v>
      </c>
      <c r="B30">
        <v>-114.147794944897</v>
      </c>
      <c r="C30" s="9">
        <v>0.89149541986940195</v>
      </c>
      <c r="D30" s="8">
        <v>-1.9922548556797917</v>
      </c>
      <c r="E30" s="8">
        <v>-3.8297266544695674E-6</v>
      </c>
      <c r="F30" s="6">
        <v>50.540344676689635</v>
      </c>
      <c r="G30" s="5">
        <v>50.692326825430897</v>
      </c>
      <c r="H30" s="4">
        <f t="shared" si="0"/>
        <v>0.299812926845205</v>
      </c>
    </row>
    <row r="31" spans="1:9" x14ac:dyDescent="0.2">
      <c r="F31"/>
      <c r="H31" s="2"/>
    </row>
    <row r="32" spans="1:9" ht="19" x14ac:dyDescent="0.25">
      <c r="F32"/>
      <c r="G32" s="3" t="s">
        <v>3</v>
      </c>
      <c r="H32" s="2">
        <f>AVERAGE(H8:H24)</f>
        <v>0.22700055682496467</v>
      </c>
      <c r="I32" t="s">
        <v>68</v>
      </c>
    </row>
    <row r="33" spans="6:9" ht="19" x14ac:dyDescent="0.25">
      <c r="F33"/>
      <c r="G33" s="3" t="s">
        <v>2</v>
      </c>
      <c r="H33" s="2">
        <f>MEDIAN(H8:H24)</f>
        <v>0.21640228172109771</v>
      </c>
      <c r="I33" t="s">
        <v>68</v>
      </c>
    </row>
    <row r="34" spans="6:9" ht="19" x14ac:dyDescent="0.25">
      <c r="F34"/>
      <c r="G34" s="3" t="s">
        <v>1</v>
      </c>
      <c r="H34" s="2">
        <f>_xlfn.STDEV.S(H8:H24)</f>
        <v>5.3675434110830623E-2</v>
      </c>
      <c r="I34" t="s">
        <v>68</v>
      </c>
    </row>
    <row r="36" spans="6:9" x14ac:dyDescent="0.2">
      <c r="G36" s="1"/>
    </row>
  </sheetData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F31DD-A0CD-754F-97F1-5D3715748325}">
  <sheetPr>
    <tabColor theme="5" tint="0.39997558519241921"/>
  </sheetPr>
  <dimension ref="A1:L36"/>
  <sheetViews>
    <sheetView zoomScale="110" zoomScaleNormal="110" workbookViewId="0">
      <selection activeCell="A2" sqref="A2"/>
    </sheetView>
  </sheetViews>
  <sheetFormatPr baseColWidth="10" defaultRowHeight="16" x14ac:dyDescent="0.2"/>
  <cols>
    <col min="5" max="6" width="12.83203125" bestFit="1" customWidth="1"/>
    <col min="7" max="8" width="12.1640625" bestFit="1" customWidth="1"/>
    <col min="9" max="9" width="10.83203125" style="1"/>
  </cols>
  <sheetData>
    <row r="1" spans="1:11" ht="21" x14ac:dyDescent="0.25">
      <c r="A1" s="28" t="s">
        <v>45</v>
      </c>
      <c r="F1" t="s">
        <v>17</v>
      </c>
      <c r="I1" s="29" t="s">
        <v>26</v>
      </c>
      <c r="J1" t="s">
        <v>27</v>
      </c>
    </row>
    <row r="2" spans="1:11" x14ac:dyDescent="0.2">
      <c r="F2" t="s">
        <v>16</v>
      </c>
      <c r="I2" s="29" t="s">
        <v>28</v>
      </c>
      <c r="J2" t="s">
        <v>29</v>
      </c>
      <c r="K2" t="s">
        <v>30</v>
      </c>
    </row>
    <row r="3" spans="1:11" ht="19" x14ac:dyDescent="0.25">
      <c r="E3" s="3" t="s">
        <v>31</v>
      </c>
      <c r="F3">
        <f>3958.756*5280</f>
        <v>20902231.68</v>
      </c>
      <c r="G3" t="s">
        <v>0</v>
      </c>
      <c r="I3" s="29" t="s">
        <v>32</v>
      </c>
      <c r="J3" t="s">
        <v>33</v>
      </c>
    </row>
    <row r="4" spans="1:11" x14ac:dyDescent="0.2">
      <c r="I4" s="29"/>
    </row>
    <row r="5" spans="1:11" x14ac:dyDescent="0.2">
      <c r="I5" s="1" t="s">
        <v>14</v>
      </c>
    </row>
    <row r="6" spans="1:11" s="18" customFormat="1" ht="20" thickBot="1" x14ac:dyDescent="0.3">
      <c r="A6" s="27" t="s">
        <v>18</v>
      </c>
      <c r="B6" s="26" t="s">
        <v>19</v>
      </c>
      <c r="C6" s="24" t="s">
        <v>13</v>
      </c>
      <c r="D6" s="23" t="s">
        <v>12</v>
      </c>
      <c r="E6" s="24" t="s">
        <v>22</v>
      </c>
      <c r="F6" s="23" t="s">
        <v>23</v>
      </c>
      <c r="G6" s="24" t="s">
        <v>11</v>
      </c>
      <c r="H6" s="23" t="s">
        <v>10</v>
      </c>
      <c r="I6" s="25" t="s">
        <v>9</v>
      </c>
      <c r="J6" s="20" t="s">
        <v>5</v>
      </c>
      <c r="K6" s="19" t="s">
        <v>67</v>
      </c>
    </row>
    <row r="7" spans="1:11" x14ac:dyDescent="0.2">
      <c r="A7">
        <v>51.079513501242801</v>
      </c>
      <c r="B7">
        <v>-114.14806797213799</v>
      </c>
      <c r="C7" s="16" cm="1">
        <f t="array" ref="C7:C30">lat*PI()/180</f>
        <v>0.89150569091358356</v>
      </c>
      <c r="D7" s="15" cm="1">
        <f t="array" ref="D7:D30">long*PI()/180</f>
        <v>-1.9922596209040948</v>
      </c>
      <c r="E7" s="16"/>
      <c r="F7" s="15"/>
      <c r="G7" s="16"/>
      <c r="H7" s="15"/>
      <c r="I7" s="17"/>
      <c r="J7" s="12"/>
      <c r="K7" s="11"/>
    </row>
    <row r="8" spans="1:11" x14ac:dyDescent="0.2">
      <c r="A8">
        <v>51.079591377641997</v>
      </c>
      <c r="B8">
        <v>-114.14792139133</v>
      </c>
      <c r="C8" s="9">
        <v>0.89150705011315901</v>
      </c>
      <c r="D8" s="8">
        <v>-1.9922570625863754</v>
      </c>
      <c r="E8" s="9" cm="1">
        <f t="array" ref="E8:E30">latr-latrm1</f>
        <v>1.3591995754458353E-6</v>
      </c>
      <c r="F8" s="8" cm="1">
        <f t="array" ref="F8:F30">longr-longrm1</f>
        <v>2.5583177194477003E-6</v>
      </c>
      <c r="G8" s="9" cm="1">
        <f t="array" ref="G8:G30">SIN(dLat/2)*SIN(dLat/2) + COS(latr)*COS(latrm1)*SIN(dLong/2)*SIN(dLong/2)</f>
        <v>1.1076605382409487E-12</v>
      </c>
      <c r="H8" s="8" cm="1">
        <f t="array" ref="H8:H30">2 *ATAN2(SQRT(1-aTerm),SQRT(aTerm))</f>
        <v>2.1049090604977286E-6</v>
      </c>
      <c r="I8" s="10" cm="1">
        <f t="array" ref="I8:I30">cTerm*Rconst</f>
        <v>43.997296847854656</v>
      </c>
      <c r="J8" s="5">
        <v>44.091533135615101</v>
      </c>
      <c r="K8" s="4">
        <f>(J8-I8)/J8*100</f>
        <v>0.21372876164363974</v>
      </c>
    </row>
    <row r="9" spans="1:11" x14ac:dyDescent="0.2">
      <c r="A9">
        <v>51.079564942722101</v>
      </c>
      <c r="B9">
        <v>-114.14785860528499</v>
      </c>
      <c r="C9" s="9">
        <v>0.89150658873676936</v>
      </c>
      <c r="D9" s="8">
        <v>-1.9922559667631654</v>
      </c>
      <c r="E9" s="9">
        <v>-4.6137638964882655E-7</v>
      </c>
      <c r="F9" s="8">
        <v>1.0958232099511633E-6</v>
      </c>
      <c r="G9" s="9">
        <v>1.7170459550297446E-13</v>
      </c>
      <c r="H9" s="8">
        <v>8.2874506454755873E-7</v>
      </c>
      <c r="I9" s="10">
        <v>17.322621342829628</v>
      </c>
      <c r="J9" s="5">
        <v>17.366692721525599</v>
      </c>
      <c r="K9" s="4">
        <f>(J9-I9)/J9*100</f>
        <v>0.25376955418429092</v>
      </c>
    </row>
    <row r="10" spans="1:11" x14ac:dyDescent="0.2">
      <c r="A10">
        <v>51.0796402935649</v>
      </c>
      <c r="B10">
        <v>-114.147724816962</v>
      </c>
      <c r="C10" s="9">
        <v>0.89150790385707035</v>
      </c>
      <c r="D10" s="8">
        <v>-1.9922536317164283</v>
      </c>
      <c r="E10" s="9">
        <v>1.3151203009931223E-6</v>
      </c>
      <c r="F10" s="8">
        <v>2.3350467370786276E-6</v>
      </c>
      <c r="G10" s="9">
        <v>9.7038554823340265E-13</v>
      </c>
      <c r="H10" s="8">
        <v>1.9701629863884019E-6</v>
      </c>
      <c r="I10" s="10">
        <v>41.180803188851058</v>
      </c>
      <c r="J10" s="5">
        <v>41.263717786527103</v>
      </c>
      <c r="K10" s="4">
        <f>(J10-I10)/J10*100</f>
        <v>0.20093826277358984</v>
      </c>
    </row>
    <row r="11" spans="1:11" x14ac:dyDescent="0.2">
      <c r="A11">
        <v>51.0796143108211</v>
      </c>
      <c r="B11">
        <v>-114.147659624076</v>
      </c>
      <c r="C11" s="9">
        <v>0.89150745037264234</v>
      </c>
      <c r="D11" s="8">
        <v>-1.9922524938859187</v>
      </c>
      <c r="E11" s="9">
        <v>-4.5348442800907662E-7</v>
      </c>
      <c r="F11" s="8">
        <v>1.1378305095899321E-6</v>
      </c>
      <c r="G11" s="9">
        <v>1.7915763594988288E-13</v>
      </c>
      <c r="H11" s="8">
        <v>8.4654033796362848E-7</v>
      </c>
      <c r="I11" s="10">
        <v>17.694582270581261</v>
      </c>
      <c r="J11" s="5">
        <v>17.737750642382501</v>
      </c>
      <c r="K11" s="4">
        <f>(J11-I11)/J11*100</f>
        <v>0.24337004545601065</v>
      </c>
    </row>
    <row r="12" spans="1:11" x14ac:dyDescent="0.2">
      <c r="A12">
        <v>51.079690647936502</v>
      </c>
      <c r="B12">
        <v>-114.14752611732401</v>
      </c>
      <c r="C12" s="9">
        <v>0.89150878270664768</v>
      </c>
      <c r="D12" s="8">
        <v>-1.9922501637535228</v>
      </c>
      <c r="E12" s="9">
        <v>1.3323340053439381E-6</v>
      </c>
      <c r="F12" s="8">
        <v>2.3301323959223907E-6</v>
      </c>
      <c r="G12" s="9">
        <v>9.7951534914585604E-13</v>
      </c>
      <c r="H12" s="8">
        <v>1.9794093554857982E-6</v>
      </c>
      <c r="I12" s="10">
        <v>41.374072937923629</v>
      </c>
      <c r="J12" s="5">
        <v>41.454307014123202</v>
      </c>
      <c r="K12" s="4">
        <f>(J12-I12)/J12*100</f>
        <v>0.19354822690013482</v>
      </c>
    </row>
    <row r="13" spans="1:11" x14ac:dyDescent="0.2">
      <c r="A13">
        <v>51.079682110890097</v>
      </c>
      <c r="B13">
        <v>-114.147386419936</v>
      </c>
      <c r="C13" s="9">
        <v>0.89150863370707945</v>
      </c>
      <c r="D13" s="8">
        <v>-1.9922477255741458</v>
      </c>
      <c r="E13" s="9">
        <v>-1.4899956823910543E-7</v>
      </c>
      <c r="F13" s="8">
        <v>2.4381793770622551E-6</v>
      </c>
      <c r="G13" s="9">
        <v>5.9212179332876406E-13</v>
      </c>
      <c r="H13" s="8">
        <v>1.5389890101347455E-6</v>
      </c>
      <c r="I13" s="10">
        <v>32.168304842810322</v>
      </c>
      <c r="J13" s="5">
        <v>32.269688582331902</v>
      </c>
      <c r="K13" s="4">
        <f>(J13-I13)/J13*100</f>
        <v>0.31417638029853556</v>
      </c>
    </row>
    <row r="14" spans="1:11" x14ac:dyDescent="0.2">
      <c r="A14">
        <v>51.079637295075401</v>
      </c>
      <c r="B14">
        <v>-114.14744338343399</v>
      </c>
      <c r="C14" s="9">
        <v>0.89150785152355605</v>
      </c>
      <c r="D14" s="8">
        <v>-1.9922487197747394</v>
      </c>
      <c r="E14" s="9">
        <v>-7.82183523395652E-7</v>
      </c>
      <c r="F14" s="8">
        <v>-9.9420059362920199E-7</v>
      </c>
      <c r="G14" s="9">
        <v>2.5048277046164504E-13</v>
      </c>
      <c r="H14" s="8">
        <v>1.0009650752382241E-6</v>
      </c>
      <c r="I14" s="10">
        <v>20.922403906217991</v>
      </c>
      <c r="J14" s="5">
        <v>20.958016289432901</v>
      </c>
      <c r="K14" s="4">
        <f>(J14-I14)/J14*100</f>
        <v>0.1699224903879227</v>
      </c>
    </row>
    <row r="15" spans="1:11" x14ac:dyDescent="0.2">
      <c r="A15">
        <v>51.0795631456904</v>
      </c>
      <c r="B15">
        <v>-114.147299810349</v>
      </c>
      <c r="C15" s="9">
        <v>0.89150655737264939</v>
      </c>
      <c r="D15" s="8">
        <v>-1.9922462139516888</v>
      </c>
      <c r="E15" s="9">
        <v>-1.2941509066610735E-6</v>
      </c>
      <c r="F15" s="8">
        <v>2.5058230506136425E-6</v>
      </c>
      <c r="G15" s="9">
        <v>1.0382791293832884E-12</v>
      </c>
      <c r="H15" s="8">
        <v>2.0379196543373812E-6</v>
      </c>
      <c r="I15" s="10">
        <v>42.597068760185458</v>
      </c>
      <c r="J15" s="5">
        <v>42.690700105707698</v>
      </c>
      <c r="K15" s="4">
        <f>(J15-I15)/J15*100</f>
        <v>0.21932492390707359</v>
      </c>
    </row>
    <row r="16" spans="1:11" x14ac:dyDescent="0.2">
      <c r="A16">
        <v>51.079516433621897</v>
      </c>
      <c r="B16">
        <v>-114.147356370587</v>
      </c>
      <c r="C16" s="9">
        <v>0.89150574209325362</v>
      </c>
      <c r="D16" s="8">
        <v>-1.9922472011140677</v>
      </c>
      <c r="E16" s="9">
        <v>-8.1527939577163977E-7</v>
      </c>
      <c r="F16" s="8">
        <v>-9.8716237895146719E-7</v>
      </c>
      <c r="G16" s="9">
        <v>2.6232463142526014E-13</v>
      </c>
      <c r="H16" s="8">
        <v>1.0243527349995863E-6</v>
      </c>
      <c r="I16" s="10">
        <v>21.411258189002996</v>
      </c>
      <c r="J16" s="5">
        <v>21.450574313580098</v>
      </c>
      <c r="K16" s="4">
        <f>(J16-I16)/J16*100</f>
        <v>0.1832870486465778</v>
      </c>
    </row>
    <row r="17" spans="1:12" x14ac:dyDescent="0.2">
      <c r="A17">
        <v>51.079453611305503</v>
      </c>
      <c r="B17">
        <v>-114.147218340832</v>
      </c>
      <c r="C17" s="9">
        <v>0.89150464563698884</v>
      </c>
      <c r="D17" s="8">
        <v>-1.9922447920403772</v>
      </c>
      <c r="E17" s="9">
        <v>-1.096456264781942E-6</v>
      </c>
      <c r="F17" s="8">
        <v>2.4090736905346688E-6</v>
      </c>
      <c r="G17" s="9">
        <v>8.7320987554699943E-13</v>
      </c>
      <c r="H17" s="8">
        <v>1.8689139900458272E-6</v>
      </c>
      <c r="I17" s="10">
        <v>39.064473209931094</v>
      </c>
      <c r="J17" s="5">
        <v>39.164556503305398</v>
      </c>
      <c r="K17" s="4">
        <f>(J17-I17)/J17*100</f>
        <v>0.25554558077494716</v>
      </c>
    </row>
    <row r="18" spans="1:12" x14ac:dyDescent="0.2">
      <c r="A18">
        <v>51.079401254959301</v>
      </c>
      <c r="B18">
        <v>-114.147293053165</v>
      </c>
      <c r="C18" s="9">
        <v>0.89150373184636333</v>
      </c>
      <c r="D18" s="8">
        <v>-1.9922460960165802</v>
      </c>
      <c r="E18" s="9">
        <v>-9.1379062550078771E-7</v>
      </c>
      <c r="F18" s="8">
        <v>-1.3039762030153668E-6</v>
      </c>
      <c r="G18" s="9">
        <v>3.7653089670729552E-13</v>
      </c>
      <c r="H18" s="8">
        <v>1.2272422690037087E-6</v>
      </c>
      <c r="I18" s="10">
        <v>25.652102234204403</v>
      </c>
      <c r="J18" s="5">
        <v>25.7096717035481</v>
      </c>
      <c r="K18" s="4">
        <f>(J18-I18)/J18*100</f>
        <v>0.2239214487353888</v>
      </c>
    </row>
    <row r="19" spans="1:12" x14ac:dyDescent="0.2">
      <c r="A19">
        <v>51.079392153396697</v>
      </c>
      <c r="B19">
        <v>-114.147174218</v>
      </c>
      <c r="C19" s="9">
        <v>0.89150357299412886</v>
      </c>
      <c r="D19" s="8">
        <v>-1.9922440219516835</v>
      </c>
      <c r="E19" s="9">
        <v>-1.588522344775356E-7</v>
      </c>
      <c r="F19" s="8">
        <v>2.0740648967176867E-6</v>
      </c>
      <c r="G19" s="9">
        <v>4.3077149656393485E-13</v>
      </c>
      <c r="H19" s="8">
        <v>1.3126636988414004E-6</v>
      </c>
      <c r="I19" s="10">
        <v>27.437600751108697</v>
      </c>
      <c r="J19" s="5">
        <v>27.537820156630499</v>
      </c>
      <c r="K19" s="4">
        <f>(J19-I19)/J19*100</f>
        <v>0.36393369174383017</v>
      </c>
    </row>
    <row r="20" spans="1:12" x14ac:dyDescent="0.2">
      <c r="A20">
        <v>51.079340628692499</v>
      </c>
      <c r="B20">
        <v>-114.147249246947</v>
      </c>
      <c r="C20" s="9">
        <v>0.89150267371839442</v>
      </c>
      <c r="D20" s="8">
        <v>-1.9922453314538429</v>
      </c>
      <c r="E20" s="9">
        <v>-8.9927573443393527E-7</v>
      </c>
      <c r="F20" s="8">
        <v>-1.3095021593745315E-6</v>
      </c>
      <c r="G20" s="9">
        <v>3.7137724790891832E-13</v>
      </c>
      <c r="H20" s="8">
        <v>1.2188145846008967E-6</v>
      </c>
      <c r="I20" s="10">
        <v>25.475944822290902</v>
      </c>
      <c r="J20" s="5">
        <v>25.513663894043599</v>
      </c>
      <c r="K20" s="4">
        <f>(J20-I20)/J20*100</f>
        <v>0.14783871069769419</v>
      </c>
    </row>
    <row r="21" spans="1:12" x14ac:dyDescent="0.2">
      <c r="A21">
        <v>51.079268902784698</v>
      </c>
      <c r="B21">
        <v>-114.14708494520799</v>
      </c>
      <c r="C21" s="9">
        <v>0.89150142186514436</v>
      </c>
      <c r="D21" s="8">
        <v>-1.9922424638475305</v>
      </c>
      <c r="E21" s="9">
        <v>-1.2518532500616075E-6</v>
      </c>
      <c r="F21" s="8">
        <v>2.8676063124066786E-6</v>
      </c>
      <c r="G21" s="9">
        <v>1.2031858647096752E-12</v>
      </c>
      <c r="H21" s="8">
        <v>2.1937965855659068E-6</v>
      </c>
      <c r="I21" s="10">
        <v>45.855244490291525</v>
      </c>
      <c r="J21" s="5">
        <v>45.960725963636101</v>
      </c>
      <c r="K21" s="4">
        <f>(J21-I21)/J21*100</f>
        <v>0.22950349702489831</v>
      </c>
    </row>
    <row r="22" spans="1:12" x14ac:dyDescent="0.2">
      <c r="A22">
        <v>51.079211479993099</v>
      </c>
      <c r="B22">
        <v>-114.14717934392699</v>
      </c>
      <c r="C22" s="9">
        <v>0.89150041964836524</v>
      </c>
      <c r="D22" s="8">
        <v>-1.9922441114159868</v>
      </c>
      <c r="E22" s="9">
        <v>-1.0022167791223779E-6</v>
      </c>
      <c r="F22" s="8">
        <v>-1.6475684563310722E-6</v>
      </c>
      <c r="G22" s="9">
        <v>5.1895552894963686E-13</v>
      </c>
      <c r="H22" s="8">
        <v>1.4407713613890672E-6</v>
      </c>
      <c r="I22" s="10">
        <v>30.115336793663289</v>
      </c>
      <c r="J22" s="5">
        <v>30.171092211308299</v>
      </c>
      <c r="K22" s="4">
        <f>(J22-I22)/J22*100</f>
        <v>0.18479747850862435</v>
      </c>
    </row>
    <row r="23" spans="1:12" x14ac:dyDescent="0.2">
      <c r="A23">
        <v>51.079208868563398</v>
      </c>
      <c r="B23">
        <v>-114.147039100562</v>
      </c>
      <c r="C23" s="9">
        <v>0.89150037407031879</v>
      </c>
      <c r="D23" s="8">
        <v>-1.9922416637075135</v>
      </c>
      <c r="E23" s="9">
        <v>-4.5578046448113696E-8</v>
      </c>
      <c r="F23" s="8">
        <v>2.4477084732410503E-6</v>
      </c>
      <c r="G23" s="9">
        <v>5.9169702039598601E-13</v>
      </c>
      <c r="H23" s="8">
        <v>1.5384368955483391E-6</v>
      </c>
      <c r="I23" s="10">
        <v>32.156764415811345</v>
      </c>
      <c r="J23" s="5">
        <v>32.248154083559498</v>
      </c>
      <c r="K23" s="4">
        <f>(J23-I23)/J23*100</f>
        <v>0.28339503560839385</v>
      </c>
    </row>
    <row r="24" spans="1:12" x14ac:dyDescent="0.2">
      <c r="A24">
        <v>51.0791494031903</v>
      </c>
      <c r="B24">
        <v>-114.147133758686</v>
      </c>
      <c r="C24" s="9">
        <v>0.8914993362037672</v>
      </c>
      <c r="D24" s="8">
        <v>-1.9922433158034412</v>
      </c>
      <c r="E24" s="9">
        <v>-1.0378665515897723E-6</v>
      </c>
      <c r="F24" s="8">
        <v>-1.652095927617836E-6</v>
      </c>
      <c r="G24" s="9">
        <v>5.3861245490610542E-13</v>
      </c>
      <c r="H24" s="8">
        <v>1.4678044214488553E-6</v>
      </c>
      <c r="I24" s="10">
        <v>30.680388078052335</v>
      </c>
      <c r="J24" s="5">
        <v>30.744390478364799</v>
      </c>
      <c r="K24" s="4">
        <f>(J24-I24)/J24*100</f>
        <v>0.20817586335791458</v>
      </c>
    </row>
    <row r="25" spans="1:12" x14ac:dyDescent="0.2">
      <c r="A25">
        <v>51.079039294959998</v>
      </c>
      <c r="B25">
        <v>-114.147170383278</v>
      </c>
      <c r="C25" s="9">
        <v>0.89149741445261488</v>
      </c>
      <c r="D25" s="8">
        <v>-1.9922439550231588</v>
      </c>
      <c r="E25" s="9">
        <v>-1.9217511523228481E-6</v>
      </c>
      <c r="F25" s="8">
        <v>-6.3921971760194651E-7</v>
      </c>
      <c r="G25" s="9">
        <v>9.6360007401294442E-13</v>
      </c>
      <c r="H25" s="8">
        <v>1.9632626660875046E-6</v>
      </c>
      <c r="I25" s="10">
        <v>41.036571095255503</v>
      </c>
      <c r="J25" s="5">
        <v>41.060865962850897</v>
      </c>
      <c r="K25" s="4">
        <f>(J25-I25)/J25*100</f>
        <v>5.916793770831421E-2</v>
      </c>
    </row>
    <row r="26" spans="1:12" x14ac:dyDescent="0.2">
      <c r="A26">
        <v>51.079034983277097</v>
      </c>
      <c r="B26">
        <v>-114.14735723243101</v>
      </c>
      <c r="C26" s="9">
        <v>0.89149733919955199</v>
      </c>
      <c r="D26" s="8">
        <v>-1.9922472161560831</v>
      </c>
      <c r="E26" s="9">
        <v>-7.5253062892244316E-8</v>
      </c>
      <c r="F26" s="8">
        <v>-3.261132924370358E-6</v>
      </c>
      <c r="G26" s="9">
        <v>1.0508105311970152E-12</v>
      </c>
      <c r="H26" s="8">
        <v>2.0501809980559111E-6</v>
      </c>
      <c r="I26" s="10">
        <v>42.853358207298285</v>
      </c>
      <c r="J26" s="5">
        <v>42.977079280238399</v>
      </c>
      <c r="K26" s="4">
        <f>(J26-I26)/J26*100</f>
        <v>0.28787687533015588</v>
      </c>
    </row>
    <row r="27" spans="1:12" x14ac:dyDescent="0.2">
      <c r="A27">
        <v>51.078987481008099</v>
      </c>
      <c r="B27">
        <v>-114.147376975187</v>
      </c>
      <c r="C27" s="9">
        <v>0.8914965101285558</v>
      </c>
      <c r="D27" s="8">
        <v>-1.992247560732179</v>
      </c>
      <c r="E27" s="9">
        <v>-8.2907099618889646E-7</v>
      </c>
      <c r="F27" s="8">
        <v>-3.4457609587867921E-7</v>
      </c>
      <c r="G27" s="9">
        <v>1.8355549872911856E-13</v>
      </c>
      <c r="H27" s="8">
        <v>8.5686754805892789E-7</v>
      </c>
      <c r="I27" s="10">
        <v>17.910444008601246</v>
      </c>
      <c r="J27" s="5">
        <v>17.924863336774099</v>
      </c>
      <c r="K27" s="4">
        <f>(J27-I27)/J27*100</f>
        <v>8.0443169367268641E-2</v>
      </c>
    </row>
    <row r="28" spans="1:12" x14ac:dyDescent="0.2">
      <c r="A28">
        <v>51.078985367111201</v>
      </c>
      <c r="B28">
        <v>-114.147557539207</v>
      </c>
      <c r="C28" s="9">
        <v>0.89149647323409498</v>
      </c>
      <c r="D28" s="8">
        <v>-1.9922507121688384</v>
      </c>
      <c r="E28" s="9">
        <v>-3.6894460819780761E-8</v>
      </c>
      <c r="F28" s="8">
        <v>-3.1514366594098675E-6</v>
      </c>
      <c r="G28" s="9">
        <v>9.8032661955218485E-13</v>
      </c>
      <c r="H28" s="8">
        <v>1.9802288954083114E-6</v>
      </c>
      <c r="I28" s="10">
        <v>41.391203151255013</v>
      </c>
      <c r="J28" s="5">
        <v>41.506999533500398</v>
      </c>
      <c r="K28" s="4">
        <f>(J28-I28)/J28*100</f>
        <v>0.27898037330288256</v>
      </c>
    </row>
    <row r="29" spans="1:12" x14ac:dyDescent="0.2">
      <c r="A29">
        <v>51.078938749501198</v>
      </c>
      <c r="B29">
        <v>-114.147575517723</v>
      </c>
      <c r="C29" s="9">
        <v>0.89149565960331101</v>
      </c>
      <c r="D29" s="8">
        <v>-1.9922510259531372</v>
      </c>
      <c r="E29" s="9">
        <v>-8.1363078396901045E-7</v>
      </c>
      <c r="F29" s="8">
        <v>-3.1378429876660618E-7</v>
      </c>
      <c r="G29" s="9">
        <v>1.7521427581169732E-13</v>
      </c>
      <c r="H29" s="8">
        <v>8.3717208699695087E-7</v>
      </c>
      <c r="I29" s="10">
        <v>17.498764918439381</v>
      </c>
      <c r="J29" s="5">
        <v>17.5119978441599</v>
      </c>
      <c r="K29" s="4">
        <f>(J29-I29)/J29*100</f>
        <v>7.5564911772372845E-2</v>
      </c>
    </row>
    <row r="30" spans="1:12" x14ac:dyDescent="0.2">
      <c r="A30">
        <v>51.078925013759999</v>
      </c>
      <c r="B30">
        <v>-114.147794944897</v>
      </c>
      <c r="C30" s="9">
        <v>0.89149541986940195</v>
      </c>
      <c r="D30" s="8">
        <v>-1.9922548556797917</v>
      </c>
      <c r="E30" s="9">
        <v>-2.397339090576267E-7</v>
      </c>
      <c r="F30" s="8">
        <v>-3.8297266544695674E-6</v>
      </c>
      <c r="G30" s="9">
        <v>1.4616043178245818E-12</v>
      </c>
      <c r="H30" s="8">
        <v>2.4179365730517361E-6</v>
      </c>
      <c r="I30" s="10">
        <v>50.540270437472635</v>
      </c>
      <c r="J30" s="5">
        <v>50.692326825430897</v>
      </c>
      <c r="K30" s="4">
        <f>(J30-I30)/J30*100</f>
        <v>0.29995937744561901</v>
      </c>
    </row>
    <row r="31" spans="1:12" x14ac:dyDescent="0.2">
      <c r="K31" s="2"/>
    </row>
    <row r="32" spans="1:12" ht="19" x14ac:dyDescent="0.25">
      <c r="J32" s="3" t="s">
        <v>3</v>
      </c>
      <c r="K32" s="2">
        <f>AVERAGE(K8:K24)</f>
        <v>0.22877511768526279</v>
      </c>
      <c r="L32" t="s">
        <v>68</v>
      </c>
    </row>
    <row r="33" spans="10:12" ht="19" x14ac:dyDescent="0.25">
      <c r="J33" s="3" t="s">
        <v>2</v>
      </c>
      <c r="K33" s="2">
        <f>MEDIAN(K8:K24)</f>
        <v>0.21932492390707359</v>
      </c>
      <c r="L33" t="s">
        <v>68</v>
      </c>
    </row>
    <row r="34" spans="10:12" ht="19" x14ac:dyDescent="0.25">
      <c r="J34" s="3" t="s">
        <v>1</v>
      </c>
      <c r="K34" s="2">
        <f>_xlfn.STDEV.S(K8:K24)</f>
        <v>5.4138950178096508E-2</v>
      </c>
      <c r="L34" t="s">
        <v>68</v>
      </c>
    </row>
    <row r="36" spans="10:12" x14ac:dyDescent="0.2">
      <c r="J36" s="1"/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39</vt:i4>
      </vt:variant>
    </vt:vector>
  </HeadingPairs>
  <TitlesOfParts>
    <vt:vector size="44" baseType="lpstr">
      <vt:lpstr>Overview</vt:lpstr>
      <vt:lpstr>Flat Earth</vt:lpstr>
      <vt:lpstr>S. Law of Cos</vt:lpstr>
      <vt:lpstr>Adjusted SLC</vt:lpstr>
      <vt:lpstr>Haversine Formula</vt:lpstr>
      <vt:lpstr>'Haversine Formula'!aTerm</vt:lpstr>
      <vt:lpstr>'Haversine Formula'!cTerm</vt:lpstr>
      <vt:lpstr>'Flat Earth'!dLat</vt:lpstr>
      <vt:lpstr>'Haversine Formula'!dLat</vt:lpstr>
      <vt:lpstr>'Adjusted SLC'!dLong</vt:lpstr>
      <vt:lpstr>'Flat Earth'!dLong</vt:lpstr>
      <vt:lpstr>'Haversine Formula'!dLong</vt:lpstr>
      <vt:lpstr>'S. Law of Cos'!dLong</vt:lpstr>
      <vt:lpstr>'Adjusted SLC'!lat</vt:lpstr>
      <vt:lpstr>'Flat Earth'!lat</vt:lpstr>
      <vt:lpstr>'Haversine Formula'!lat</vt:lpstr>
      <vt:lpstr>'S. Law of Cos'!lat</vt:lpstr>
      <vt:lpstr>'Adjusted SLC'!latr</vt:lpstr>
      <vt:lpstr>'Flat Earth'!latr</vt:lpstr>
      <vt:lpstr>'Haversine Formula'!latr</vt:lpstr>
      <vt:lpstr>'S. Law of Cos'!latr</vt:lpstr>
      <vt:lpstr>'Adjusted SLC'!latrm1</vt:lpstr>
      <vt:lpstr>'Flat Earth'!latrm1</vt:lpstr>
      <vt:lpstr>'Haversine Formula'!latrm1</vt:lpstr>
      <vt:lpstr>'S. Law of Cos'!latrm1</vt:lpstr>
      <vt:lpstr>'Adjusted SLC'!long</vt:lpstr>
      <vt:lpstr>'Flat Earth'!long</vt:lpstr>
      <vt:lpstr>'Haversine Formula'!long</vt:lpstr>
      <vt:lpstr>'S. Law of Cos'!long</vt:lpstr>
      <vt:lpstr>'Adjusted SLC'!longr</vt:lpstr>
      <vt:lpstr>'Flat Earth'!longr</vt:lpstr>
      <vt:lpstr>'Haversine Formula'!longr</vt:lpstr>
      <vt:lpstr>'S. Law of Cos'!longr</vt:lpstr>
      <vt:lpstr>'Adjusted SLC'!longrm1</vt:lpstr>
      <vt:lpstr>'Flat Earth'!longrm1</vt:lpstr>
      <vt:lpstr>'Haversine Formula'!longrm1</vt:lpstr>
      <vt:lpstr>'S. Law of Cos'!longrm1</vt:lpstr>
      <vt:lpstr>'Adjusted SLC'!Rconst</vt:lpstr>
      <vt:lpstr>'Flat Earth'!Rconst</vt:lpstr>
      <vt:lpstr>'Haversine Formula'!Rconst</vt:lpstr>
      <vt:lpstr>'S. Law of Cos'!Rconst</vt:lpstr>
      <vt:lpstr>'Haversine Formula'!test</vt:lpstr>
      <vt:lpstr>'Flat Earth'!Xterm</vt:lpstr>
      <vt:lpstr>'Flat Earth'!Yterm</vt:lpstr>
    </vt:vector>
  </TitlesOfParts>
  <Manager>craig.champlin@me.com</Manager>
  <Company>cchampli@mines.edu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Small GIS distance compare</dc:title>
  <dc:subject>Small distances using lattitude and longitudes</dc:subject>
  <dc:creator>Craig Champlin</dc:creator>
  <cp:keywords/>
  <dc:description>Latitude and longitude are decimal degrees </dc:description>
  <cp:lastModifiedBy>Craig Champlin</cp:lastModifiedBy>
  <dcterms:created xsi:type="dcterms:W3CDTF">2023-02-08T22:33:59Z</dcterms:created>
  <dcterms:modified xsi:type="dcterms:W3CDTF">2023-02-09T06:39:49Z</dcterms:modified>
  <cp:category>https://craigchamplin.com</cp:category>
</cp:coreProperties>
</file>